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leitung" sheetId="1" state="visible" r:id="rId3"/>
    <sheet name="Begriffe" sheetId="2" state="visible" r:id="rId4"/>
    <sheet name="Eingaben" sheetId="3" state="visible" r:id="rId5"/>
    <sheet name="Parameter" sheetId="4" state="visible" r:id="rId6"/>
    <sheet name="Umrechnung" sheetId="5" state="visible" r:id="rId7"/>
    <sheet name="Ansparphase" sheetId="6" state="visible" r:id="rId8"/>
    <sheet name="Auszahlung" sheetId="7" state="visible" r:id="rId9"/>
    <sheet name="Cashflow" sheetId="8" state="visible" r:id="rId10"/>
    <sheet name="Vergleich" sheetId="9" state="visible"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<sst xmlns="http://schemas.openxmlformats.org/spreadsheetml/2006/main" count="726" uniqueCount="691">
  <si>
    <t xml:space="preserve">bAV mit DYNO  vs.  Altersvorsorgedepot  vs.  privates ETF-Depot</t>
  </si>
  <si>
    <t xml:space="preserve">Rechtsstand 2026. Alle Zahlen sind Formeln - aendern Sie die gelben Zellen im Blatt 'Eingaben' und alles rechnet neu.</t>
  </si>
  <si>
    <t xml:space="preserve">Aufbau</t>
  </si>
  <si>
    <t xml:space="preserve">Begriffe       - Legende aller Fachbegriffe und Spaltenueberschriften. Bei Unklarheiten zuerst dort nachsehen.</t>
  </si>
  <si>
    <t xml:space="preserve">Eingaben       - Ihre persoenlichen Groessen. Nur hier tippen.</t>
  </si>
  <si>
    <t xml:space="preserve">Umrechnung     - Bisektion, die aus einem vorgegebenen Nettoaufwand den noetigen Bruttobeitrag bestimmt.</t>
  </si>
  <si>
    <t xml:space="preserve">Parameter      - gesetzliche Rechengroessen 2026 mit Fundstelle. Anpassen, wenn sich das Recht aendert.</t>
  </si>
  <si>
    <t xml:space="preserve">Ansparphase    - Jahr fuer Jahr: Brutto, SV, Steuer, Nettoaufwand, Einzahlungen, Kapitalentwicklung, Entgeltpunkte.</t>
  </si>
  <si>
    <t xml:space="preserve">Auszahlung     - Jahr fuer Jahr: Bruttozufluss, KV/PV, Steuer, Netto je Option.</t>
  </si>
  <si>
    <t xml:space="preserve">Cashflow       - Zahlungsstroeme fuer interne Zinsfuesse und Barwerte.</t>
  </si>
  <si>
    <t xml:space="preserve">Vergleich      - das Ergebnis nebeneinander, mit Diagramm.</t>
  </si>
  <si>
    <t xml:space="preserve">Das Vergleichsprinzip</t>
  </si>
  <si>
    <t xml:space="preserve">Ein Vergleich von Bruttobeitraegen waere unfair: die Entgeltumwandlung kommt aus dem Brutto, das private Sparen aus dem Netto.</t>
  </si>
  <si>
    <t xml:space="preserve">Deshalb wird der NETTOAUFWAND gleichgesetzt. Aus dem eingegebenen Bruttobeitrag folgt, wieviel Netto tatsaechlich fehlt</t>
  </si>
  <si>
    <t xml:space="preserve">(Beitrag minus gesparte Lohnsteuer minus gesparter Arbeitnehmeranteil zur Sozialversicherung). Genau dieser Betrag wird in</t>
  </si>
  <si>
    <t xml:space="preserve">den beiden anderen Optionen investiert. Was uebrig bleibt, ist ein echter Vergleich der Foerderarchitekturen.</t>
  </si>
  <si>
    <t xml:space="preserve">Ueber den Vorgabemodus koennen Sie die Richtung umkehren und direkt den Nettoaufwand festlegen - oekonomisch ist</t>
  </si>
  <si>
    <t xml:space="preserve">das die natuerlichere Groesse, denn sie misst den tatsaechlich aufgegebenen Konsum. Der Bruttobeitrag des ersten</t>
  </si>
  <si>
    <t xml:space="preserve">Jahres wird dann zurueckgerechnet und danach nach der eingestellten Dynamisierungsregel fortgeschrieben; in</t>
  </si>
  <si>
    <t xml:space="preserve">spaeteren Jahren kann der Nettoaufwand daher leicht abweichen (Teilzeit, Tarifprogression, Beitragsbemessungsgrenzen).</t>
  </si>
  <si>
    <t xml:space="preserve">Die drei Optionen im Kern</t>
  </si>
  <si>
    <t xml:space="preserve">1) bAV (Direktversicherung, ETF-basiert, z.B. DYNO)</t>
  </si>
  <si>
    <t xml:space="preserve">   + Beitrag steuerfrei bis 8 % der BBG-RV ( 3 Nr. 63 EStG), sozialabgabenfrei bis 4 % ( 1 Abs. 1 S. 1 Nr. 9 SvEV)</t>
  </si>
  <si>
    <t xml:space="preserve">   + Arbeitgeberzuschuss von mindestens 15 % ( 1a Abs. 1a BetrAVG) - das ist der eigentliche Renditetreiber</t>
  </si>
  <si>
    <t xml:space="preserve">   - Leistung voll steuerpflichtig ( 22 Nr. 5 S. 1 EStG); Kapitalabfindung trifft in einem Jahr den Spitzensteuersatz</t>
  </si>
  <si>
    <t xml:space="preserve">   - Kranken- und Pflegeversicherung auf die volle Leistung, Beitragssatz allein vom Rentner ( 229, 250 SGB V)</t>
  </si>
  <si>
    <t xml:space="preserve">   - Entgeltumwandlung mindert die Entgeltpunkte und damit die gesetzliche Rente</t>
  </si>
  <si>
    <t xml:space="preserve">   - Produktkosten des Versicherungsmantels, gebundenes Kapital bis zum Rentenalter</t>
  </si>
  <si>
    <t xml:space="preserve">2) Altersvorsorgedepot (ab 1.1.2027, Altersvorsorgereformgesetz)</t>
  </si>
  <si>
    <t xml:space="preserve">   + Zulage 50 Cent je Euro bis 360 EUR, 25 Cent je Euro bis 1.800 EUR (max. 540 EUR Grundzulage), 300 EUR je Kind</t>
  </si>
  <si>
    <t xml:space="preserve">   + steuerfreie Thesaurierung in der Ansparphase - keine Vorabpauschale, kein Steuerabzug auf Ausschuettungen</t>
  </si>
  <si>
    <t xml:space="preserve">   + KEINE Kranken- und Pflegeversicherungsbeitraege auf die Leistung</t>
  </si>
  <si>
    <t xml:space="preserve">   - gefoerderte Teile voll nachgelagert steuerpflichtig; Beitraege ueber 1.800 EUR sind nicht gefoerdert</t>
  </si>
  <si>
    <t xml:space="preserve">   - Auszahlung fruehestens ab 65, Kapital gebunden, Anlageuniversum durch Positivliste begrenzt</t>
  </si>
  <si>
    <t xml:space="preserve">3) Privates ETF-Depot</t>
  </si>
  <si>
    <t xml:space="preserve">   + voellig flexibel, jederzeit verfuegbar, vererbbar, keine Produktbindung, niedrigste Kosten</t>
  </si>
  <si>
    <t xml:space="preserve">   - Vorabpauschale nach 18 InvStG in jedem Jahr mit Wertzuwachs (Basiszins 2026: 3,20 %)</t>
  </si>
  <si>
    <t xml:space="preserve">   - Abgeltungsteuer 25 % zzgl. Soli und ggf. Kirchensteuer auf 70 % des Gewinns (30 % Teilfreistellung)</t>
  </si>
  <si>
    <t xml:space="preserve">   - keine Foerderung, kein Fremdgeld</t>
  </si>
  <si>
    <t xml:space="preserve">Wichtige Modellannahmen (bitte lesen, bevor Sie dem Ergebnis glauben)</t>
  </si>
  <si>
    <t xml:space="preserve">- Das zu versteuernde Einkommen wird aus dem Brutto naeherungsweise abgeleitet: abzueglich Arbeitnehmer-Pauschbetrag,</t>
  </si>
  <si>
    <t xml:space="preserve">  Sonderausgaben-Pauschbetrag und der abziehbaren Vorsorgeaufwendungen (RV voll, KV zu 96 %, PV voll). Genauigkeit ca. 1 %.</t>
  </si>
  <si>
    <t xml:space="preserve">- Der Einkommensteuertarif wird mit dem eingegebenen Satz gestreckt: ESt = s * L * T(zvE / s / L). Das ist exakt aequivalent</t>
  </si>
  <si>
    <t xml:space="preserve">  zu einer proportionalen Verschiebung aller Tarifeckwerte. Auf 0 % setzen, um die kalte Progression zu sehen.</t>
  </si>
  <si>
    <t xml:space="preserve">- BBG, Bezugsgroesse, Durchschnittsentgelt und Rentenwert werden mit der Lohnsteigerung fortgeschrieben.</t>
  </si>
  <si>
    <t xml:space="preserve">- Oberhalb der Beitragsbemessungsgrenzen ist die Entgeltumwandlung sozialversicherungsrechtlich neutral: die</t>
  </si>
  <si>
    <t xml:space="preserve">  Bemessungsgrundlage bleibt gedeckelt, also spart weder Arbeitnehmer noch Arbeitgeber Beitraege, und es gehen</t>
  </si>
  <si>
    <t xml:space="preserve">  auch keine Entgeltpunkte verloren. Beides folgt aus derselben Differenz und ist im Modell zwingend gekoppelt.</t>
  </si>
  <si>
    <t xml:space="preserve">  Der Zuschussmodus 2 zieht daraus die Konsequenz und setzt den Zuschuss dann auf null.</t>
  </si>
  <si>
    <t xml:space="preserve">- Beitraege gelten als unterjaehrig geleistet (Verzinsung mit (1+r)^0,5 im Einzahlungsjahr).</t>
  </si>
  <si>
    <t xml:space="preserve">- In der Auszahlungsphase wird die Vorabpauschale nicht mehr fortgeschrieben; sie waere durch die Anrechnung auf den</t>
  </si>
  <si>
    <t xml:space="preserve">  realisierten Gewinn ( 19 InvStG) barwertig weitgehend neutral.</t>
  </si>
  <si>
    <t xml:space="preserve">- Der Sonderausgabenhoechstbetrag von 2.340 EUR fuer das Altersvorsorgedepot ist eine Modellannahme aus der BMF-FAQ</t>
  </si>
  <si>
    <t xml:space="preserve">  (Eigenbeitrag bis 1.800 EUR zuzueglich Zulagen). Vertrauensgrad rund 70 % - im Blatt 'Parameter' aenderbar.</t>
  </si>
  <si>
    <t xml:space="preserve">- Guenstigerpruefung nach 10a Abs. 2 EStG: die Gesamtfoerderung ist das MAXIMUM aus Zulagenanspruch und Steuervorteil</t>
  </si>
  <si>
    <t xml:space="preserve">  aus dem Sonderausgabenabzug, nicht deren Summe. Solange der Steuervorteil groesser ist, erhoeht eine zusaetzliche</t>
  </si>
  <si>
    <t xml:space="preserve">  Kinderzulage die Foerderung um exakt null - sie wird vollstaendig angerechnet. Erst wenn die Zulage den Steuervorteil</t>
  </si>
  <si>
    <t xml:space="preserve">  uebersteigt, fliesst echtes zusaetzliches Geld. Das ist der Grund fuer scheinbar paradoxe Ergebnisse bei einem Kind.</t>
  </si>
  <si>
    <t xml:space="preserve">- Die Steuererstattung aus der Guenstigerpruefung wird im Folgejahr als NICHT gefoerderter Beitrag in denselben Vertrag</t>
  </si>
  <si>
    <t xml:space="preserve">  reinvestiert. Das ist eine Konvention, keine Rechtsfolge; sie haelt den Nettoaufwand aller drei Optionen exakt gleich.</t>
  </si>
  <si>
    <t xml:space="preserve">- Die bAV wird in ZWEI Schichten gefuehrt: gefoerdert (bis 8 % der BBG-RV, 3 Nr. 63 EStG, voll nachgelagert</t>
  </si>
  <si>
    <t xml:space="preserve">  steuerpflichtig) und NICHT gefoerdert (der Rest, aus versteuertem Entgelt; bei Kapitalauszahlung nur halber</t>
  </si>
  <si>
    <t xml:space="preserve">  Unterschiedsbetrag nach 22 Nr. 5 S. 2 Buchst. b i.V.m. 20 Abs. 1 Nr. 6 S. 2 EStG, bei Rente Ertragsanteil).</t>
  </si>
  <si>
    <t xml:space="preserve">  Ohne diese Trennung wuerde derselbe Euro zweimal besteuert - und der Barwert der bAV bei hohen Beitraegen negativ.</t>
  </si>
  <si>
    <t xml:space="preserve">- Die Beitragsbemessungsgrenze der KV wird auf die Summe aus gesetzlicher Rente und Versorgungsbezuegen angewandt</t>
  </si>
  <si>
    <t xml:space="preserve">  ( 223 Abs. 3 SGB V). Dafuer wird die gesetzliche Bruttorente als Eingabe benoetigt.</t>
  </si>
  <si>
    <t xml:space="preserve">- Bei der lebenslangen bAV-Rente ist der Vergleich horizontabhaengig: das Modell zaehlt nur die Zahlungen bis zum</t>
  </si>
  <si>
    <t xml:space="preserve">  eingestellten Vergleichshorizont. Die Zahlungen danach stehen als Memo-Zeile im Blatt 'Vergleich'. Eine Leibrente ist</t>
  </si>
  <si>
    <t xml:space="preserve">  primaer eine Versicherung gegen Langlebigkeit, kein Renditeprodukt - sie kann deshalb im Barwertvergleich nur verlieren.</t>
  </si>
  <si>
    <t xml:space="preserve">- Nicht modelliert: Abschlaege bei vorzeitigem Rentenbezug, Auswirkungen der Entgeltumwandlung auf Kranken-, Arbeitslosen-</t>
  </si>
  <si>
    <t xml:space="preserve">  und Elterngeld, Hinterbliebenenversorgung, Insolvenzsicherung (PSVaG), Portabilitaet bei Arbeitgeberwechsel,</t>
  </si>
  <si>
    <t xml:space="preserve">  Kinderabschlaege in der Pflegeversicherung, Guenstigerpruefung nach 32d Abs. 6 EStG.</t>
  </si>
  <si>
    <t xml:space="preserve">Quellen</t>
  </si>
  <si>
    <t xml:space="preserve">SVBezGrV 2026 - https://www.gesetze-im-internet.de/svbezgrv_2026/BJNR1160A0025.html</t>
  </si>
  <si>
    <t xml:space="preserve">32a EStG - https://www.gesetze-im-internet.de/estg/__32a.html</t>
  </si>
  <si>
    <t xml:space="preserve">BMF, FAQ zur Reform der gefoerderten privaten Altersvorsorge, 05.05.2026 -</t>
  </si>
  <si>
    <t xml:space="preserve">   https://www.bundesfinanzministerium.de/Content/DE/FAQ/reform-der-privaten-altersvorsorge.html</t>
  </si>
  <si>
    <t xml:space="preserve">Bundesregierung, Private Altersvorsorge wird attraktiver, 01.06.2026 -</t>
  </si>
  <si>
    <t xml:space="preserve">   https://www.bundesregierung.de/breg-de/aktuelles/reform-private-altersvorsorge-2400072</t>
  </si>
  <si>
    <t xml:space="preserve">BMF-Schreiben vom 13.01.2026, Basiszins zur Vorabpauschale ( 18 Abs. 4 InvStG) -</t>
  </si>
  <si>
    <t xml:space="preserve">   https://www.bundesfinanzministerium.de/Content/DE/Downloads/BMF_Schreiben/Steuerarten/Investmentsteuer/2026-01-13-basiszins-berechnung-vorabpauschale.pdf</t>
  </si>
  <si>
    <t xml:space="preserve">GKV-Spitzenverband, Rechengroessen 2026 - https://www.gkv-spitzenverband.de/media/dokumente/presse/zahlen_und_grafiken/20260101_Faktenblatt_Rechengroessen_Beitragsrecht.pdf</t>
  </si>
  <si>
    <t xml:space="preserve">DYNO - https://heydyno.de</t>
  </si>
  <si>
    <t xml:space="preserve">Keine Steuer- oder Anlageberatung. Ich bin weder Steuerberater noch Anlageberater; das Modell ersetzt keine Pruefung des konkreten Vertrags.</t>
  </si>
  <si>
    <t xml:space="preserve">Begriffslegende</t>
  </si>
  <si>
    <t xml:space="preserve">Die zentralen Groessen des Modells. Wo eine Rechtsnorm existiert, steht sie in der dritten Spalte; wo es eine Modellkonvention ist, steht das ausdruecklich dort.</t>
  </si>
  <si>
    <t xml:space="preserve">Die Kerngroesse des Vergleichs</t>
  </si>
  <si>
    <t xml:space="preserve">Nettoaufwand</t>
  </si>
  <si>
    <t xml:space="preserve">Betrag, um den Ihr verfuegbares Einkommen im Beitragsjahr tatsaechlich sinkt:
    Nettoaufwand  =  Bruttobeitrag  -  Lohnsteuerersparnis  -  ersparter AN-Anteil zur Sozialversicherung
Beispiel Basisfall: 3.600 - 1.237 - 382 = 1.981 EUR. Sie wandeln 3.600 EUR Brutto um, spueren aber nur 1.981 EUR.
Genau dieser Betrag - nicht der Bruttobeitrag - wird in den beiden anderen Optionen investiert, denn privates Sparen erfolgt aus versteuertem Einkommen. Ohne diese Normierung wuerde man 3.600 EUR brutto gegen 3.600 EUR netto vergleichen und die bAV systematisch bevorzugen.</t>
  </si>
  <si>
    <t xml:space="preserve">Spalte AE im Blatt 'Ansparphase'</t>
  </si>
  <si>
    <t xml:space="preserve">Vorgabemodus</t>
  </si>
  <si>
    <t xml:space="preserve">Modus 1: Sie geben den Bruttobeitrag vor, der Nettoaufwand ergibt sich.
Modus 2: Sie geben den Nettoaufwand vor - also den aufgegebenen Konsum - und der noetige Bruttobeitrag wird zurueckgerechnet.
Die Umkehrung ist nicht geschlossen darstellbar, weil N(B) Knicke bei 4 % und 8 % der BBG-RV, an den Beitragsbemessungsgrenzen und an den Tarifeckwerten hat. N ist aber stetig und streng monoton wachsend (dN/dB = 1 - Grenz-SV-Satz - Grenzsteuersatz, im Regelfall etwa 0,5 bis 0,6), also konvergiert eine Bisektion garantiert. Das Blatt 'Umrechnung' fuehrt 34 Schritte auf dem Intervall [0; Bruttogehalt] aus.</t>
  </si>
  <si>
    <t xml:space="preserve">Blatt 'Umrechnung'</t>
  </si>
  <si>
    <t xml:space="preserve">Fremdgeld</t>
  </si>
  <si>
    <t xml:space="preserve">Geld, das nicht von Ihnen kommt: der Arbeitgeberzuschuss bei der bAV, die Zulagen beim Altersvorsorgedepot. Der einzige Posten, der eine gefoerderte Anlage strukturell besser machen kann als ein freies Depot - der Steueraufschub allein leistet das nicht.</t>
  </si>
  <si>
    <t xml:space="preserve">Zeile 6 im Blatt 'Vergleich'</t>
  </si>
  <si>
    <t xml:space="preserve">Steuer</t>
  </si>
  <si>
    <t xml:space="preserve">Grenzsteuersatz</t>
  </si>
  <si>
    <t xml:space="preserve">Steuer auf den naechsten verdienten Euro, also die Ableitung des Tarifs. Entscheidend fuer den Wert eines Abzugs. 2026 zwischen 14 % und 45 %.</t>
  </si>
  <si>
    <t xml:space="preserve">32a EStG</t>
  </si>
  <si>
    <t xml:space="preserve">Durchschnittssteuersatz</t>
  </si>
  <si>
    <t xml:space="preserve">Gesamte Steuer geteilt durch das gesamte zu versteuernde Einkommen. Immer kleiner als der Grenzsteuersatz. Relevant fuer die Auszahlungsphase, wenn eine grosse Summe auf einmal zufliesst.</t>
  </si>
  <si>
    <t xml:space="preserve">zvE</t>
  </si>
  <si>
    <t xml:space="preserve">Zu versteuerndes Einkommen: Bruttogehalt abzueglich Werbungskosten (mindestens Arbeitnehmer-Pauschbetrag), Sonderausgaben-Pauschbetrag und abziehbarer Vorsorgeaufwendungen. Bemessungsgrundlage des Tarifs.</t>
  </si>
  <si>
    <t xml:space="preserve">2 Abs. 5 EStG</t>
  </si>
  <si>
    <t xml:space="preserve">Splittingtarif</t>
  </si>
  <si>
    <t xml:space="preserve">Bei Zusammenveranlagung: ESt = 2 x T((zvE1 + zvE2)/2). Senkt den Grenzsteuersatz stark, solange das halbierte Einkommen in der Progressionszone liegt, und wirkt gar nicht mehr im Spitzensteuersatz.</t>
  </si>
  <si>
    <t xml:space="preserve">32a Abs. 5 EStG</t>
  </si>
  <si>
    <t xml:space="preserve">Tarifindex L (lambda)</t>
  </si>
  <si>
    <t xml:space="preserve">Streckungsfaktor des Steuertarifs fuer kuenftige Jahre. Das Modell rechnet ESt = s * L * T(zvE / s / L), was exakt einer proportionalen Verschiebung aller Tarifeckwerte entspricht. L = 1 bedeutet: keine Anpassung, also volle kalte Progression.</t>
  </si>
  <si>
    <t xml:space="preserve">Modellkonvention</t>
  </si>
  <si>
    <t xml:space="preserve">Nachgelagerte Besteuerung</t>
  </si>
  <si>
    <t xml:space="preserve">Beitraege bleiben steuerfrei, dafuer ist die spaetere Leistung voll steuerpflichtig. Rechnerisch ist der Aufschub fuer sich genommen wertneutral, weil (1-t) * (1+r)^n = (1+r)^n * (1-t). Er lohnt nur, wenn der Steuersatz bei Auszahlung niedriger ist als bei Einzahlung.</t>
  </si>
  <si>
    <t xml:space="preserve">22 Nr. 5 S. 1 EStG</t>
  </si>
  <si>
    <t xml:space="preserve">Fuenftelregelung</t>
  </si>
  <si>
    <t xml:space="preserve">Ermaessigte Besteuerung ausserordentlicher Einkuenfte: die Steuer wird auf ein Fuenftel berechnet und verfuenffacht. Bei planmaessigen Kapitalabfindungen aus 3 Nr. 63-Vertraegen nach der Rechtsprechung nur ausnahmsweise anwendbar - im Modell abschaltbar und per Default aus.</t>
  </si>
  <si>
    <t xml:space="preserve">34 EStG</t>
  </si>
  <si>
    <t xml:space="preserve">Sozialversicherung</t>
  </si>
  <si>
    <t xml:space="preserve">Beitragsbemessungsgrenze (BBG)</t>
  </si>
  <si>
    <t xml:space="preserve">Obergrenze des beitragspflichtigen Entgelts. 2026: 101.400 EUR in RV und AV, 69.750 EUR in KV und PV. Oberhalb der Grenze ist eine Entgeltumwandlung sozialversicherungsrechtlich neutral - weder Sie noch Ihr Arbeitgeber sparen etwas, und es gehen auch keine Entgeltpunkte verloren.</t>
  </si>
  <si>
    <t xml:space="preserve">159 ff. SGB VI, 223 SGB V</t>
  </si>
  <si>
    <t xml:space="preserve">Bezugsgroesse</t>
  </si>
  <si>
    <t xml:space="preserve">Rechengroesse des Sozialrechts, 2026: 3.955 EUR monatlich. Wichtig hier vor allem als Basis des Freibetrags auf Versorgungsbezuege (ein Zwanzigstel).</t>
  </si>
  <si>
    <t xml:space="preserve">18 SGB IV</t>
  </si>
  <si>
    <t xml:space="preserve">Versorgungsbezug</t>
  </si>
  <si>
    <t xml:space="preserve">Leistung aus betrieblicher Altersversorgung. In der GKV beitragspflichtig, und zwar mit dem VOLLEN Beitragssatz, den der Rentner allein traegt. Eine Kapitalabfindung wird dafuer auf 120 Monate verteilt. Leistungen aus PRIVATER Altersvorsorge sind keine Versorgungsbezuege und bleiben beitragsfrei - der groesste einzelne Unterschied zwischen den drei Optionen.</t>
  </si>
  <si>
    <t xml:space="preserve">229, 250 Abs. 1 Nr. 1 SGB V</t>
  </si>
  <si>
    <t xml:space="preserve">Freibetrag / Freigrenze</t>
  </si>
  <si>
    <t xml:space="preserve">Beim Freibetrag bleibt nur der Betrag bis zur Grenze unbelastet, der Rest wird belastet (KV: 197,75 EUR/Monat in 2026). Bei der Freigrenze wird bei Ueberschreiten der GESAMTE Betrag belastet - so in der Pflegeversicherung. Mathematisch: stetige gegen unstetige Funktion.</t>
  </si>
  <si>
    <t xml:space="preserve">226 Abs. 2 SGB V</t>
  </si>
  <si>
    <t xml:space="preserve">Entgeltpunkt</t>
  </si>
  <si>
    <t xml:space="preserve">Beitragspflichtiges Entgelt geteilt durch das Durchschnittsentgelt aller Versicherten (2026: 51.944 EUR). Ein Punkt ergibt seit Juli 2026 eine Monatsrente von 42,52 EUR. Entgeltumwandlung senkt das beitragspflichtige Entgelt und damit die Punkte - aber nur unterhalb der BBG.</t>
  </si>
  <si>
    <t xml:space="preserve">63, 70 SGB VI</t>
  </si>
  <si>
    <t xml:space="preserve">Besteuerungsanteil</t>
  </si>
  <si>
    <t xml:space="preserve">Anteil der gesetzlichen Rente, der steuerpflichtig ist. Haengt vom Jahr des Rentenbeginns ab: 82,5 % fuer die Kohorte 2023, danach +0,5 Prozentpunkte pro Jahr bis 100 % ab 2058.</t>
  </si>
  <si>
    <t xml:space="preserve">22 Nr. 1 S. 3 Buchst. a Doppelbuchst. aa EStG</t>
  </si>
  <si>
    <t xml:space="preserve">Betriebliche Altersvorsorge</t>
  </si>
  <si>
    <t xml:space="preserve">Entgeltumwandlung</t>
  </si>
  <si>
    <t xml:space="preserve">Umwandlung kuenftiger Gehaltsansprueche in eine Anwartschaft auf Betriebsrente. Ein Rechtsanspruch besteht nur bis 4 % der BBG-RV; darueber hinaus braucht es die Zustimmung des Arbeitgebers.</t>
  </si>
  <si>
    <t xml:space="preserve">1a BetrAVG</t>
  </si>
  <si>
    <t xml:space="preserve">Gefoerderte Schicht</t>
  </si>
  <si>
    <t xml:space="preserve">Der Teil der Beitraege bis 8 % der BBG-RV (2026: 8.112 EUR). Steuerfrei beim Einzahlen, dafuer die Leistung spaeter zu 100 % steuerpflichtig.</t>
  </si>
  <si>
    <t xml:space="preserve">3 Nr. 63 EStG</t>
  </si>
  <si>
    <t xml:space="preserve">Nicht gefoerderte Schicht</t>
  </si>
  <si>
    <t xml:space="preserve">Alles darueber. Fliesst aus versteuertem und verbeitragtem Entgelt in den Vertrag. Deshalb ist die Leistung spaeter NICHT voll steuerpflichtig, sondern nur mit dem halben Unterschiedsbetrag (Kapital) bzw. dem Ertragsanteil (Rente). Die KV-Pflicht trifft sie trotzdem in voller Hoehe.</t>
  </si>
  <si>
    <t xml:space="preserve">22 Nr. 5 S. 2 EStG</t>
  </si>
  <si>
    <t xml:space="preserve">Unterschiedsbetrag</t>
  </si>
  <si>
    <t xml:space="preserve">Auszahlung minus eingezahlte Beitraege, also der reine Wertzuwachs. Bei Vertragsdauer ueber zwoelf Jahren und Auszahlung nach dem 62. Lebensjahr ist davon nur die Haelfte steuerpflichtig.</t>
  </si>
  <si>
    <t xml:space="preserve">20 Abs. 1 Nr. 6 S. 2 EStG</t>
  </si>
  <si>
    <t xml:space="preserve">Ertragsanteil</t>
  </si>
  <si>
    <t xml:space="preserve">Pauschal unterstellter Zinsanteil einer Leibrente aus nicht gefoerdertem Kapital, abhaengig vom Alter bei Rentenbeginn (bei 67: 17 %). Nur dieser Anteil wird besteuert.</t>
  </si>
  <si>
    <t xml:space="preserve">22 Nr. 1 S. 3 Buchst. a Doppelbuchst. bb EStG</t>
  </si>
  <si>
    <t xml:space="preserve">Rentenfaktor</t>
  </si>
  <si>
    <t xml:space="preserve">Monatliche Rente je 10.000 EUR Kapital. Ein Faktor von 26 entspricht etwa 3,1 % Entnahmequote pro Jahr - der Versicherer kalkuliert fuer ein sehr hohes Endalter. Eine Leibrente ist primaer eine Versicherung gegen Langlebigkeit, kein Renditeprodukt; im Barwertvergleich ueber einen festen Horizont kann sie deshalb nur verlieren.</t>
  </si>
  <si>
    <t xml:space="preserve">Vertragsbedingung</t>
  </si>
  <si>
    <t xml:space="preserve">Gefoerderte private Altersvorsorge (Altersvorsorgedepot)</t>
  </si>
  <si>
    <t xml:space="preserve">Zulage</t>
  </si>
  <si>
    <t xml:space="preserve">Direkter staatlicher Zuschuss: 50 Cent je Euro bis 360 EUR Eigenbeitrag, 25 Cent je Euro bis 1.800 EUR, also hoechstens 540 EUR Grundzulage. Zusaetzlich 1 Euro je Euro bis 300 EUR je Kind, solange Kindergeld zusteht.</t>
  </si>
  <si>
    <t xml:space="preserve">Abschnitt XI EStG i.d.F. des Altersvorsorgereformgesetzes</t>
  </si>
  <si>
    <t xml:space="preserve">Sonderausgabenabzug</t>
  </si>
  <si>
    <t xml:space="preserve">Alternative Foerderung: Eigenbeitraege bis 1.800 EUR zuzueglich Zulagen mindern das zvE.</t>
  </si>
  <si>
    <t xml:space="preserve">10a Abs. 1 EStG</t>
  </si>
  <si>
    <t xml:space="preserve">Guenstigerpruefung</t>
  </si>
  <si>
    <t xml:space="preserve">Die Gesamtfoerderung ist das MAXIMUM aus Zulagenanspruch und Steuervorteil des Sonderausgabenabzugs, nicht deren Summe: F = max(Zulage, Steuervorteil). Solange der Steuervorteil groesser ist, erhoeht eine zusaetzliche Zulage die Foerderung um exakt null - sie wird vollstaendig angerechnet. Deshalb kann ein einzelnes Kind das Ergebnis sogar minimal verschlechtern, waehrend zwei Kinder es deutlich verbessern.</t>
  </si>
  <si>
    <t xml:space="preserve">10a Abs. 2 EStG</t>
  </si>
  <si>
    <t xml:space="preserve">Standarddepot</t>
  </si>
  <si>
    <t xml:space="preserve">Kostenreguliertes Standardprodukt, das jeder Anbieter fuehren muss. Die Effektivkosten sind auf 1,0 % p.a. begrenzt.</t>
  </si>
  <si>
    <t xml:space="preserve">Altersvorsorgereformgesetz</t>
  </si>
  <si>
    <t xml:space="preserve">Privates Depot</t>
  </si>
  <si>
    <t xml:space="preserve">Vorabpauschale</t>
  </si>
  <si>
    <t xml:space="preserve">Jaehrliche Vorwegbesteuerung thesaurierender Fonds. Bemessungsgrundlage ist der Basisertrag = Wert am Jahresanfang x Basiszins x 70 %, gedeckelt auf den tatsaechlichen Wertzuwachs. Basiszins 2026: 3,20 %. Bereits versteuerte Vorabpauschalen erhoehen die Anschaffungskosten und mindern spaeter den zu versteuernden Veraeusserungsgewinn - der Effekt ist also primaer ein Liquiditaets- und Zinseszinsnachteil.</t>
  </si>
  <si>
    <t xml:space="preserve">18 InvStG</t>
  </si>
  <si>
    <t xml:space="preserve">Teilfreistellung</t>
  </si>
  <si>
    <t xml:space="preserve">Bei Aktienfonds mit einer Aktienquote ueber 50 % bleiben 30 % der Ertraege im Privatvermoegen steuerfrei. Effektive Belastung damit rund 18,5 % statt 26,375 %.</t>
  </si>
  <si>
    <t xml:space="preserve">20 InvStG</t>
  </si>
  <si>
    <t xml:space="preserve">Abgeltungsteuer</t>
  </si>
  <si>
    <t xml:space="preserve">25 % zuzueglich Solidaritaetszuschlag und gegebenenfalls Kirchensteuer. Effektiv 26,375 % ohne bzw. rund 27,8 bis 28,0 % mit Kirchensteuer. Anders als bei der nachgelagerten Besteuerung ist der Satz vom persoenlichen Grenzsteuersatz unabhaengig - der grosse Vorteil des freien Depots bei hohen Einkommen.</t>
  </si>
  <si>
    <t xml:space="preserve">32d, 43a EStG</t>
  </si>
  <si>
    <t xml:space="preserve">Sparer-Pauschbetrag</t>
  </si>
  <si>
    <t xml:space="preserve">1.000 EUR je Person und Jahr steuerfreier Kapitalertrag, bei Zusammenveranlagung 2.000 EUR.</t>
  </si>
  <si>
    <t xml:space="preserve">20 Abs. 9 EStG</t>
  </si>
  <si>
    <t xml:space="preserve">Auswertung</t>
  </si>
  <si>
    <t xml:space="preserve">Barwert</t>
  </si>
  <si>
    <t xml:space="preserve">Auf heute abgezinster Betrag, hier mit der Inflationsrate diskontiert. Damit sind alle Zahlen in Kaufkraft von heute vergleichbar - unerlaesslich, wenn Zahlungen 30 bis 50 Jahre auseinanderliegen.</t>
  </si>
  <si>
    <t xml:space="preserve">Netto-Ertrag</t>
  </si>
  <si>
    <t xml:space="preserve">Barwert aller Netto-Auszahlungen minus Barwert des gesamten Nettoaufwands. Die Hauptkennzahl: was eine Option ueber den eigenen Einsatz hinaus abwirft.</t>
  </si>
  <si>
    <t xml:space="preserve">Zeile 15 im Blatt 'Vergleich'</t>
  </si>
  <si>
    <t xml:space="preserve">Interner Zinsfuss (IRR)</t>
  </si>
  <si>
    <t xml:space="preserve">Der Zinssatz, bei dem der Kapitalwert aller Zahlungsstroeme null wird, also die Nullstelle des Polynoms Summe CF_t / (1+i)^t. Direkt mit der angenommenen Bruttorendite des ETF vergleichbar: liegt der IRR darunter, frisst die Foerderarchitektur mehr als sie bringt.</t>
  </si>
  <si>
    <t xml:space="preserve">Blatt 'Cashflow'</t>
  </si>
  <si>
    <t xml:space="preserve">Annuitaetenfaktor</t>
  </si>
  <si>
    <t xml:space="preserve">Faktor, der ein Kapital in eine konstante nominale Jahresentnahme ueber n Jahre umrechnet: a = r / (1 - (1+r)^-n). Wird fuer die Auszahlungsplaene von Altersvorsorgedepot und Privatdepot benutzt.</t>
  </si>
  <si>
    <t xml:space="preserve">Sleeve</t>
  </si>
  <si>
    <t xml:space="preserve">Hilfsbegriff des Modells: der Teil des Nettoaufwands, der den jaehrlichen Hoechstbetrag des Altersvorsorgevertrags von 6.840 EUR uebersteigt. Er wird in ein normales Depot geleitet und wie Option 3 besteuert, damit alle drei Optionen exakt denselben Nettoaufwand haben.</t>
  </si>
  <si>
    <t xml:space="preserve">Vergleichshorizont</t>
  </si>
  <si>
    <t xml:space="preserve">Alter, bis zu dem gerechnet wird (Default 85). Auszahlungsplaene enden hier. Eine lebenslange bAV-Rente zahlt darueber hinaus; dieser Betrag steht als Memo-Zeile im Blatt 'Vergleich' und geht NICHT in den Vergleich ein.</t>
  </si>
  <si>
    <t xml:space="preserve">Eingabe</t>
  </si>
  <si>
    <t xml:space="preserve">Eingaben - bAV (DYNO) vs. Altersvorsorgedepot vs. privates ETF-Depot</t>
  </si>
  <si>
    <t xml:space="preserve">Nur die GELB hinterlegten Zellen (blaue Schrift) aendern. Alles andere ist Formel.</t>
  </si>
  <si>
    <t xml:space="preserve">PERSON UND ZEITACHSE</t>
  </si>
  <si>
    <t xml:space="preserve">Alter heute (vollendete Jahre)</t>
  </si>
  <si>
    <t xml:space="preserve">Jahre</t>
  </si>
  <si>
    <t xml:space="preserve">Startpunkt der Ansparphase; Kalenderjahr 0 = 2026.</t>
  </si>
  <si>
    <t xml:space="preserve">Auszahlungsbeginn (Alter)</t>
  </si>
  <si>
    <t xml:space="preserve">Beginn Auszahlungsphase aller drei Optionen. Altersvorsorgedepot: fruehestens 65 (Reform 2026).</t>
  </si>
  <si>
    <t xml:space="preserve">Ende Auszahlungsplan / Vergleichshorizont (Alter)</t>
  </si>
  <si>
    <t xml:space="preserve">Auszahlungsplaene laufen bis hierhin. Lebenslange Renten werden ueber denselben Horizont verglichen (Memo-Zeile fuer den Rest).</t>
  </si>
  <si>
    <t xml:space="preserve">Ausscheiden aus dem Job / Vorruhestand (Alter)</t>
  </si>
  <si>
    <t xml:space="preserve">Ab hier kein Gehalt, keine Beitraege mehr. Kapital verzinst sich weiter bis zum Auszahlungsbeginn.</t>
  </si>
  <si>
    <t xml:space="preserve">Teilzeit ab Alter</t>
  </si>
  <si>
    <t xml:space="preserve">Auf 999 setzen, wenn keine Teilzeit geplant ist.</t>
  </si>
  <si>
    <t xml:space="preserve">Teilzeitfaktor (Anteil des Vollzeitgehalts)</t>
  </si>
  <si>
    <t xml:space="preserve">0,60 = 60 %-Stelle.</t>
  </si>
  <si>
    <t xml:space="preserve">EINKOMMEN UND STEUER</t>
  </si>
  <si>
    <t xml:space="preserve">Jahresbruttogehalt heute</t>
  </si>
  <si>
    <t xml:space="preserve">EUR</t>
  </si>
  <si>
    <t xml:space="preserve">Ohne Einmalzahlungen; ggf. inkl. anteiligem 13. Gehalt.</t>
  </si>
  <si>
    <t xml:space="preserve">Gehalts- und Lohnsteigerung p.a.</t>
  </si>
  <si>
    <t xml:space="preserve">Wird auch zur Fortschreibung von BBG, Bezugsgroesse, Durchschnittsentgelt und Rentenwert benutzt.</t>
  </si>
  <si>
    <t xml:space="preserve">Veranlagung: 1 = einzeln (Stkl. 1), 3 = zusammen (Stkl. 3)</t>
  </si>
  <si>
    <t xml:space="preserve">1/3</t>
  </si>
  <si>
    <t xml:space="preserve">Massgeblich ist die VERANLAGUNGSART, nicht die Lohnsteuerklasse: die Klasse steuert nur den unterjaehrigen Abzug, der Jahresbescheid rechnet ohnehin mit Splitting. 3 = Splittingtarif nach 32a Abs. 5 EStG; dann unbedingt das zvE des Partners eintragen.</t>
  </si>
  <si>
    <t xml:space="preserve">zu versteuerndes Einkommen des Partners (nur Stkl. 3)</t>
  </si>
  <si>
    <t xml:space="preserve">Bei Stkl. 3 wird der Splittingtarif nach 32a Abs. 5 EStG gerechnet: 2 x ESt((zvE + zvE_Partner)/2).</t>
  </si>
  <si>
    <t xml:space="preserve">Kirchensteuersatz (0 / 0,08 / 0,09)</t>
  </si>
  <si>
    <t xml:space="preserve">8 % in BY und BW, sonst 9 %.</t>
  </si>
  <si>
    <t xml:space="preserve">Anpassung der Tarifeckwerte p.a. (kalte Progression)</t>
  </si>
  <si>
    <t xml:space="preserve">Der ganze Tarif wird mit diesem Faktor gestreckt. 0 % = volle kalte Progression.</t>
  </si>
  <si>
    <t xml:space="preserve">Anzahl Kinder (fuer Kinderzulage)</t>
  </si>
  <si>
    <t xml:space="preserve">Kinderzulage im Altersvorsorgedepot: 1 EUR je eingezahltem EUR bis 300 EUR je Kind.</t>
  </si>
  <si>
    <t xml:space="preserve">Jahre, in denen noch Kinderzulage zusteht</t>
  </si>
  <si>
    <t xml:space="preserve">Die Kinderzulage ist an den Kindergeldanspruch gekoppelt ( 85 EStG), laeuft also nicht ueber die gesamte Ansparphase. Auf 0 setzen, wenn kein Anspruch mehr besteht.</t>
  </si>
  <si>
    <t xml:space="preserve">Kinderlos (Zuschlag Pflegeversicherung)? 1 = ja</t>
  </si>
  <si>
    <t xml:space="preserve">1/0</t>
  </si>
  <si>
    <t xml:space="preserve">0,6 Prozentpunkte Zuschlag, allein vom Arbeitnehmer zu tragen ( 55 Abs. 3 SGB XI).</t>
  </si>
  <si>
    <t xml:space="preserve">BETRIEBLICHE ALTERSVORSORGE (DYNO)</t>
  </si>
  <si>
    <t xml:space="preserve">Vorgabe: 1 = Bruttobeitrag, 2 = Nettoaufwand</t>
  </si>
  <si>
    <t xml:space="preserve">1/2</t>
  </si>
  <si>
    <t xml:space="preserve">Bei 2 wird der Bruttobeitrag so bestimmt, dass der gewuenschte Nettoaufwand herauskommt (Bisektion im Blatt 'Umrechnung'). Der Nettoaufwand ist der tatsaechlich aufgegebene Konsum und damit die oekonomisch richtige Entscheidungsvariable.</t>
  </si>
  <si>
    <t xml:space="preserve">Monatsbeitrag bAV brutto (nur bei Modus 1)</t>
  </si>
  <si>
    <t xml:space="preserve">Bruttoentgeltumwandlung nach 1a BetrAVG.</t>
  </si>
  <si>
    <t xml:space="preserve">Monatlicher Nettoaufwand (nur bei Modus 2)</t>
  </si>
  <si>
    <t xml:space="preserve">Der Betrag, um den Ihr verfuegbares Einkommen im ersten Jahr sinkt. Danach wird der Bruttobeitrag nach der Dynamisierungsregel fortgeschrieben.</t>
  </si>
  <si>
    <t xml:space="preserve">Beitrag mit dem Gehalt dynamisieren? 1 = ja</t>
  </si>
  <si>
    <t xml:space="preserve">1 = Beitrag steigt mit der Gehaltssteigerung, 0 = nominal konstant.</t>
  </si>
  <si>
    <t xml:space="preserve">Arbeitgeberzuschuss (Anteil des Beitrags)</t>
  </si>
  <si>
    <t xml:space="preserve">Gesetzliches Minimum 15 % ( 1a Abs. 1a BetrAVG). DYNO-Arbeitgeber zahlen oft mehr - hier eintragen, was im Vertrag steht.</t>
  </si>
  <si>
    <t xml:space="preserve">Zuschussmodus: 0 = voller Beitrag, 1 = sv-freier Anteil, 2 = spitz</t>
  </si>
  <si>
    <t xml:space="preserve">0/1/2</t>
  </si>
  <si>
    <t xml:space="preserve">2 ist der Gesetzeswortlaut: 1a Abs. 1a BetrAVG schuldet den Zuschuss nur, SOWEIT der Arbeitgeber tatsaechlich Sozialversicherungsbeitraege spart. Liegt Ihr Entgelt ueber beiden Beitragsbemessungsgrenzen, spart er nichts - und schuldet nichts. 1 ist die verbreitete pauschale Praxis, 0 eine freiwillige oder tarifvertragliche Zusage.</t>
  </si>
  <si>
    <t xml:space="preserve">bAV-Auszahlung: 1 = Kapital, 2 = lebenslange Rente</t>
  </si>
  <si>
    <t xml:space="preserve">Kapital: voll steuerpflichtig im Zuflussjahr, KV/PV auf 120 Monate verteilt ( 229 Abs. 1 S. 3 SGB V).</t>
  </si>
  <si>
    <t xml:space="preserve">Rentenfaktor bAV (EUR Monatsrente je 10.000 EUR)</t>
  </si>
  <si>
    <t xml:space="preserve">Nur relevant bei Auszahlungsform 2. 26 EUR entspricht ca. 3,1 % Entnahmequote.</t>
  </si>
  <si>
    <t xml:space="preserve">Dynamik der bAV-Rente p.a.</t>
  </si>
  <si>
    <t xml:space="preserve">Ueberschussbeteiligung / Fondsentwicklung in der Rentenphase.</t>
  </si>
  <si>
    <t xml:space="preserve">Fuenftelregelung auf bAV-Kapital pruefen? 1 = ja</t>
  </si>
  <si>
    <t xml:space="preserve">34 EStG ist bei planmaessiger Kapitalabfindung aus 3 Nr. 63-Vertraegen nach BFH X R 23/15 nur ausnahmsweise anwendbar. Konservativ: 0.</t>
  </si>
  <si>
    <t xml:space="preserve">KAPITALMARKT UND KOSTEN</t>
  </si>
  <si>
    <t xml:space="preserve">Bruttorendite des ETF p.a. (vor Kosten, vor Steuern)</t>
  </si>
  <si>
    <t xml:space="preserve">Identischer ETF in allen drei Optionen - so war die Frage gestellt.</t>
  </si>
  <si>
    <t xml:space="preserve">Kosten bAV-Produkt p.a. (Versicherungsmantel + TER)</t>
  </si>
  <si>
    <t xml:space="preserve">DYNO wirbt mit provisionsfrei; realistisch bleiben Verwaltungs- und Mantelkosten. Effektivkosten aus dem Produktinformationsblatt eintragen.</t>
  </si>
  <si>
    <t xml:space="preserve">Kosten Altersvorsorgedepot p.a.</t>
  </si>
  <si>
    <t xml:space="preserve">Standarddepot: Effektivkosten gesetzlich auf 1,0 % p.a. gedeckelt.</t>
  </si>
  <si>
    <t xml:space="preserve">Kosten privates ETF-Depot p.a.</t>
  </si>
  <si>
    <t xml:space="preserve">Reine TER eines breiten Welt-ETF.</t>
  </si>
  <si>
    <t xml:space="preserve">Inflation p.a. (fuer die reale Darstellung)</t>
  </si>
  <si>
    <t xml:space="preserve">Diskontierungssatz fuer die Barwerte in Kaufkraft von heute.</t>
  </si>
  <si>
    <t xml:space="preserve">RUHESTAND</t>
  </si>
  <si>
    <t xml:space="preserve">Krankenversicherung im Ruhestand: 1 = GKV, 2 = PKV</t>
  </si>
  <si>
    <t xml:space="preserve">Entscheidender Hebel: in der GKV sind Versorgungsbezuege mit dem vollen Beitragssatz belegt, private Altersvorsorge nicht.</t>
  </si>
  <si>
    <t xml:space="preserve">sonstiges zu versteuerndes Einkommen im Ruhestand</t>
  </si>
  <si>
    <t xml:space="preserve">Vor allem der steuerpflichtige Teil der gesetzlichen Rente, ohne die hier verglichenen Produkte. Bestimmt den Grenzsteuersatz in der Auszahlungsphase.</t>
  </si>
  <si>
    <t xml:space="preserve">gesetzliche Bruttorente p.a. (heutige Werte)</t>
  </si>
  <si>
    <t xml:space="preserve">Nur fuer den Beitragsbemessungsgrenzen-Deckel in der KV: Rente und Versorgungsbezuege teilen sich EINE Obergrenze ( 223 Abs. 3 SGB V).</t>
  </si>
  <si>
    <t xml:space="preserve">Altersvorsorgedepot: Teilkapital zu Beginn</t>
  </si>
  <si>
    <t xml:space="preserve">Bis 30 % sind zu Beginn der Auszahlungsphase als Einmalbetrag moeglich.</t>
  </si>
  <si>
    <t xml:space="preserve">ERGEBNIS AUF EINEN BLICK (Details im Blatt 'Vergleich')</t>
  </si>
  <si>
    <t xml:space="preserve">Barwert der Netto-Auszahlungen (in heutiger Kaufkraft)</t>
  </si>
  <si>
    <t xml:space="preserve">Summe aller Leistungen nach Steuern und Sozialabgaben, auf heute abgezinst - noch ohne Abzug des eigenen Einsatzes.</t>
  </si>
  <si>
    <t xml:space="preserve">     bAV mit DYNO</t>
  </si>
  <si>
    <t xml:space="preserve">     Altersvorsorgedepot</t>
  </si>
  <si>
    <t xml:space="preserve">     privates ETF-Depot</t>
  </si>
  <si>
    <t xml:space="preserve">Barwert des Netto-Ertrags (in heutiger Kaufkraft)</t>
  </si>
  <si>
    <t xml:space="preserve">Dasselbe abzueglich des Barwerts des Nettoaufwands: was die Option ueber den eigenen Einsatz hinaus abwirft.</t>
  </si>
  <si>
    <t xml:space="preserve">Aequivalente Monatsleistung (in heutiger Kaufkraft)</t>
  </si>
  <si>
    <t xml:space="preserve">Konstante Monatszahlung ueber die Auszahlungsphase mit demselben Wert - vergleichbar mit Ihrem heutigen Nettoeinkommen.</t>
  </si>
  <si>
    <t xml:space="preserve">Abgeleitet: Bruttobeitrag pro Monat</t>
  </si>
  <si>
    <t xml:space="preserve">Bei Modus 2 aus dem Nettoaufwand zurueckgerechnet, bei Modus 1 Ihre Eingabe.</t>
  </si>
  <si>
    <t xml:space="preserve">Abgeleitet: Nettoaufwand pro Monat (erstes Jahr)</t>
  </si>
  <si>
    <t xml:space="preserve">Der tatsaechlich aufgegebene Konsum: Bruttobeitrag minus Steuer- und SV-Ersparnis.</t>
  </si>
  <si>
    <t xml:space="preserve">Rechengroessen und Tarifkonstanten - Rechtsstand 2026</t>
  </si>
  <si>
    <t xml:space="preserve">SOZIALVERSICHERUNG 2026</t>
  </si>
  <si>
    <t xml:space="preserve">Beitragsbemessungsgrenze RV/AV (jaehrlich)</t>
  </si>
  <si>
    <t xml:space="preserve">SVBezGrV 2026 (BGBl. 2025 I Nr. 116); bundeseinheitlich.</t>
  </si>
  <si>
    <t xml:space="preserve">Beitragsbemessungsgrenze KV/PV (jaehrlich)</t>
  </si>
  <si>
    <t xml:space="preserve">SVBezGrV 2026; 5.812,50 EUR monatlich.</t>
  </si>
  <si>
    <t xml:space="preserve">Bezugsgroesse (monatlich)</t>
  </si>
  <si>
    <t xml:space="preserve">SVBezGrV 2026; 47.460 EUR jaehrlich.</t>
  </si>
  <si>
    <t xml:space="preserve">Freibetrag Versorgungsbezuege KV (monatlich)</t>
  </si>
  <si>
    <t xml:space="preserve">1/20 der Bezugsgroesse, 226 Abs. 2 S. 2 SGB V = 197,75 EUR/Monat in 2026. In der PV gilt statt des Freibetrags eine Freigrenze.</t>
  </si>
  <si>
    <t xml:space="preserve">Vorlaeufiges Durchschnittsentgelt RV</t>
  </si>
  <si>
    <t xml:space="preserve">Anlage 1 zu SGB VI, Wert 2026 - Nenner fuer Entgeltpunkte.</t>
  </si>
  <si>
    <t xml:space="preserve">Aktueller Rentenwert (ab 1.7.2026)</t>
  </si>
  <si>
    <t xml:space="preserve">Rentenwertbestimmungsverordnung 2026; +4,24 % ggue. 40,79 EUR.</t>
  </si>
  <si>
    <t xml:space="preserve">Rentenversicherung, Arbeitnehmeranteil</t>
  </si>
  <si>
    <t xml:space="preserve">18,6 % haelftig.</t>
  </si>
  <si>
    <t xml:space="preserve">Arbeitslosenversicherung, Arbeitnehmeranteil</t>
  </si>
  <si>
    <t xml:space="preserve">2,6 % haelftig.</t>
  </si>
  <si>
    <t xml:space="preserve">Krankenversicherung, allgemeiner Beitragssatz</t>
  </si>
  <si>
    <t xml:space="preserve">241 SGB V.</t>
  </si>
  <si>
    <t xml:space="preserve">Durchschnittlicher Zusatzbeitrag 2026</t>
  </si>
  <si>
    <t xml:space="preserve">Bekanntmachung des BMG; kassenindividuell abweichend.</t>
  </si>
  <si>
    <t xml:space="preserve">Pflegeversicherung, Gesamtbeitragssatz</t>
  </si>
  <si>
    <t xml:space="preserve">55 SGB XI. Kinderabschlaege ab dem 2. Kind hier nicht modelliert.</t>
  </si>
  <si>
    <t xml:space="preserve">Pflegeversicherung, Arbeitnehmeranteil</t>
  </si>
  <si>
    <t xml:space="preserve">In Sachsen abweichend (2,3 %).</t>
  </si>
  <si>
    <t xml:space="preserve">Zuschlag fuer Kinderlose (allein AN)</t>
  </si>
  <si>
    <t xml:space="preserve">55 Abs. 3 SGB XI.</t>
  </si>
  <si>
    <t xml:space="preserve">EINKOMMENSTEUERTARIF 2026 ( 32a EStG)</t>
  </si>
  <si>
    <t xml:space="preserve">Grundfreibetrag / Ende Zone 1</t>
  </si>
  <si>
    <t xml:space="preserve">32a Abs. 1 EStG i.d.F. des Steuerfortentwicklungsgesetzes.</t>
  </si>
  <si>
    <t xml:space="preserve">Ende Zone 2 (Progressionszone I)</t>
  </si>
  <si>
    <t xml:space="preserve">Grenzsteuersatz steigt von 14 % auf 23,97 %.</t>
  </si>
  <si>
    <t xml:space="preserve">Ende Zone 3 (Progressionszone II)</t>
  </si>
  <si>
    <t xml:space="preserve">Grenzsteuersatz steigt von 23,97 % auf 42 %.</t>
  </si>
  <si>
    <t xml:space="preserve">Beginn Zone 5 (Reichensteuer)</t>
  </si>
  <si>
    <t xml:space="preserve">Ab 277.826 EUR gilt 45 %.</t>
  </si>
  <si>
    <t xml:space="preserve">Koeffizient a2 (Zone 2)</t>
  </si>
  <si>
    <t xml:space="preserve">ESt = (a2*y + b2)*y mit y = (zvE - Grundfreibetrag)/10.000.</t>
  </si>
  <si>
    <t xml:space="preserve">Koeffizient b2 (Zone 2)</t>
  </si>
  <si>
    <t xml:space="preserve">Koeffizient a3 (Zone 3)</t>
  </si>
  <si>
    <t xml:space="preserve">ESt = (a3*z + b3)*z + c3 mit z = (zvE - 17.799)/10.000.</t>
  </si>
  <si>
    <t xml:space="preserve">Koeffizient b3 (Zone 3)</t>
  </si>
  <si>
    <t xml:space="preserve">Konstante c3 (Zone 3)</t>
  </si>
  <si>
    <t xml:space="preserve">Konstante c4 (Zone 4)</t>
  </si>
  <si>
    <t xml:space="preserve">ESt = 0,42*zvE - c4.</t>
  </si>
  <si>
    <t xml:space="preserve">Konstante c5 (Zone 5)</t>
  </si>
  <si>
    <t xml:space="preserve">ESt = 0,45*zvE - c5.</t>
  </si>
  <si>
    <t xml:space="preserve">Solidaritaetszuschlag</t>
  </si>
  <si>
    <t xml:space="preserve">SolzG 1995.</t>
  </si>
  <si>
    <t xml:space="preserve">Soli-Freigrenze (Grundtarif, festgesetzte ESt)</t>
  </si>
  <si>
    <t xml:space="preserve">2026; im Splitting doppelt. Milderungszone daneben.</t>
  </si>
  <si>
    <t xml:space="preserve">Milderungszone: Grenzbelastung</t>
  </si>
  <si>
    <t xml:space="preserve">3 Abs. 2a SolzG.</t>
  </si>
  <si>
    <t xml:space="preserve">Arbeitnehmer-Pauschbetrag</t>
  </si>
  <si>
    <t xml:space="preserve">9a S. 1 Nr. 1a EStG.</t>
  </si>
  <si>
    <t xml:space="preserve">Sonderausgaben-Pauschbetrag</t>
  </si>
  <si>
    <t xml:space="preserve">10c EStG.</t>
  </si>
  <si>
    <t xml:space="preserve">KAPITALERTRAGSTEUER UND INVESTMENTSTEUER</t>
  </si>
  <si>
    <t xml:space="preserve">Abgeltungsteuersatz</t>
  </si>
  <si>
    <t xml:space="preserve">32d Abs. 1 EStG.</t>
  </si>
  <si>
    <t xml:space="preserve">Effektive Belastung inkl. Soli und Kirchensteuer</t>
  </si>
  <si>
    <t xml:space="preserve">Formel: 0,25/(1+0,25*k) * (1+0,055+k) nach 32d Abs. 1 S. 3 EStG. Ohne KiSt 26,375 %, bei 9 % KiSt 27,99 %.</t>
  </si>
  <si>
    <t xml:space="preserve">Teilfreistellung Aktienfonds (Privatvermoegen)</t>
  </si>
  <si>
    <t xml:space="preserve">20 Abs. 1 Nr. 3 i.V.m. 20 InvStG (Aktienfondsanteil &gt; 50 %).</t>
  </si>
  <si>
    <t xml:space="preserve">Sparer-Pauschbetrag (Einzelveranlagung)</t>
  </si>
  <si>
    <t xml:space="preserve">20 Abs. 9 EStG; im Splitting 2.000 EUR.</t>
  </si>
  <si>
    <t xml:space="preserve">Basiszins Vorabpauschale 2026</t>
  </si>
  <si>
    <t xml:space="preserve">BMF-Schreiben vom 13.01.2026, 18 Abs. 4 InvStG (2025: 2,53 %).</t>
  </si>
  <si>
    <t xml:space="preserve">Faktor fuer den Basisertrag</t>
  </si>
  <si>
    <t xml:space="preserve">18 Abs. 1 S. 1 InvStG.</t>
  </si>
  <si>
    <t xml:space="preserve">BETRIEBLICHE UND GEFOERDERTE PRIVATE ALTERSVORSORGE</t>
  </si>
  <si>
    <t xml:space="preserve">Steuerfrei nach 3 Nr. 63 EStG (Anteil der BBG-RV)</t>
  </si>
  <si>
    <t xml:space="preserve">8 % der BBG-RV = 8.112 EUR in 2026.</t>
  </si>
  <si>
    <t xml:space="preserve">Sozialversicherungsfrei (Anteil der BBG-RV)</t>
  </si>
  <si>
    <t xml:space="preserve">1 Abs. 1 S. 1 Nr. 9 SvEV; 4 % = 4.056 EUR in 2026.</t>
  </si>
  <si>
    <t xml:space="preserve">Zulage Stufe 1 (je EUR Eigenbeitrag)</t>
  </si>
  <si>
    <t xml:space="preserve">Altersvorsorgereformgesetz, in Kraft seit Mai 2026, Anwendung ab 1.1.2027.</t>
  </si>
  <si>
    <t xml:space="preserve">Grenze Stufe 1</t>
  </si>
  <si>
    <t xml:space="preserve">Bis 360 EUR Eigenbeitrag: 50 Cent je EUR.</t>
  </si>
  <si>
    <t xml:space="preserve">Zulage Stufe 2 (je EUR Eigenbeitrag)</t>
  </si>
  <si>
    <t xml:space="preserve">Von 361 bis 1.800 EUR: 25 Cent je EUR.</t>
  </si>
  <si>
    <t xml:space="preserve">Grenze Stufe 2 / Hoechstbetrag gefoerderter Eigenbeitrag</t>
  </si>
  <si>
    <t xml:space="preserve">Ergibt eine maximale Grundzulage von 540 EUR.</t>
  </si>
  <si>
    <t xml:space="preserve">Kinderzulage je Kind (max.)</t>
  </si>
  <si>
    <t xml:space="preserve">1 EUR je eingezahltem EUR bis 300 EUR je Kind.</t>
  </si>
  <si>
    <t xml:space="preserve">Hoechstbetrag Einzahlung Altersvorsorgevertrag p.a.</t>
  </si>
  <si>
    <t xml:space="preserve">BMF-FAQ zur Reform der geförderten privaten Altersvorsorge, Stand 05.05.2026.</t>
  </si>
  <si>
    <t xml:space="preserve">Hoechstbetrag Sonderausgabenabzug 10a EStG</t>
  </si>
  <si>
    <t xml:space="preserve">Eigenbeitrag bis 1.800 EUR zzgl. Zulagen. MODELLANNAHME, Vertrauensgrad ca. 70 %.</t>
  </si>
  <si>
    <t xml:space="preserve">Ertragsanteil nicht gefoerderter Rententeile (Alter 67)</t>
  </si>
  <si>
    <t xml:space="preserve">22 Nr. 1 S. 3 Buchst. a Doppelbuchst. bb EStG. Wird nur nachrichtlich gefuehrt.</t>
  </si>
  <si>
    <t xml:space="preserve">Steuerpflichtiger Anteil des Unterschiedsbetrags</t>
  </si>
  <si>
    <t xml:space="preserve">20 Abs. 1 Nr. 6 S. 2 EStG analog (Vertrag &gt; 12 Jahre, Auszahlung nach 62): halber Unterschiedsbetrag.</t>
  </si>
  <si>
    <t xml:space="preserve">KV-Satz auf die gesetzliche Rente (Rentneranteil)</t>
  </si>
  <si>
    <t xml:space="preserve">Halber allgemeiner Satz zzgl. halbem Zusatzbeitrag, 249a SGB V.</t>
  </si>
  <si>
    <t xml:space="preserve">KV-Satz auf Versorgungsbezuege (voll)</t>
  </si>
  <si>
    <t xml:space="preserve">250 Abs. 1 Nr. 1 SGB V: der Rentner traegt den vollen Satz allein.</t>
  </si>
  <si>
    <t xml:space="preserve">ABGELEITETE GROESSEN</t>
  </si>
  <si>
    <t xml:space="preserve">Splittingfaktor s (1 oder 2)</t>
  </si>
  <si>
    <t xml:space="preserve">PV-Anteil AN effektiv (inkl. Kinderlosenzuschlag)</t>
  </si>
  <si>
    <t xml:space="preserve">PV-Satz Rentner/Versorgungsbezuege effektiv</t>
  </si>
  <si>
    <t xml:space="preserve">Nettorendite bAV-Depot p.a.</t>
  </si>
  <si>
    <t xml:space="preserve">Nettorendite Altersvorsorgedepot p.a.</t>
  </si>
  <si>
    <t xml:space="preserve">Nettorendite privates Depot p.a. (vor Steuern)</t>
  </si>
  <si>
    <t xml:space="preserve">Jahre der Ansparphase</t>
  </si>
  <si>
    <t xml:space="preserve">Jahre des Auszahlungsplans</t>
  </si>
  <si>
    <t xml:space="preserve">Kalenderjahr des Auszahlungsbeginns</t>
  </si>
  <si>
    <t xml:space="preserve">Besteuerungsanteil der gesetzlichen Rente</t>
  </si>
  <si>
    <t xml:space="preserve">Sparer-Pauschbetrag effektiv</t>
  </si>
  <si>
    <t xml:space="preserve">22 Nr. 1 S. 3 Buchst. a Doppelbuchst. aa EStG: Kohorte 2023 = 82,5 %, +0,5 Prozentpunkte je Jahr bis 100 % ab 2058.</t>
  </si>
  <si>
    <t xml:space="preserve">Wiederanlagezins nach Steuern p.a.</t>
  </si>
  <si>
    <t xml:space="preserve">Rendite, zu der ein Einmalbetrag in einem normalen Depot wieder angelegt werden koennte, nach Abgeltungsteuer und Teilfreistellung. Massstab fuer das Verrentungsaequivalent.</t>
  </si>
  <si>
    <t xml:space="preserve">Umrechnung Nettoaufwand -&gt; Bruttobeitrag</t>
  </si>
  <si>
    <t xml:space="preserve">Nur aktiv bei Vorgabemodus 2. Gesucht ist die Nullstelle von N(B) - Zielwert; N ist streng monoton wachsend, also konvergiert die Bisektion garantiert.</t>
  </si>
  <si>
    <t xml:space="preserve">Teilzeitfaktor im ersten Jahr</t>
  </si>
  <si>
    <t xml:space="preserve">Bruttogehalt im ersten Jahr</t>
  </si>
  <si>
    <t xml:space="preserve">BBG RV im ersten Jahr</t>
  </si>
  <si>
    <t xml:space="preserve">BBG KV im ersten Jahr</t>
  </si>
  <si>
    <t xml:space="preserve">Tarifindex im ersten Jahr</t>
  </si>
  <si>
    <t xml:space="preserve">Zielwert Nettoaufwand p.a.</t>
  </si>
  <si>
    <t xml:space="preserve">abziehbare Vorsorgeaufwendungen ohne bAV</t>
  </si>
  <si>
    <t xml:space="preserve">zvE ohne bAV</t>
  </si>
  <si>
    <t xml:space="preserve">Tarifargument ohne bAV</t>
  </si>
  <si>
    <t xml:space="preserve">ESt ohne bAV</t>
  </si>
  <si>
    <t xml:space="preserve">Steuer gesamt ohne bAV</t>
  </si>
  <si>
    <t xml:space="preserve">Bisektion</t>
  </si>
  <si>
    <t xml:space="preserve">Schritt</t>
  </si>
  <si>
    <t xml:space="preserve">lo</t>
  </si>
  <si>
    <t xml:space="preserve">hi</t>
  </si>
  <si>
    <t xml:space="preserve">B = (lo+hi)/2</t>
  </si>
  <si>
    <t xml:space="preserve">sv-frei</t>
  </si>
  <si>
    <t xml:space="preserve">D RV-Bem.</t>
  </si>
  <si>
    <t xml:space="preserve">D KV-Bem.</t>
  </si>
  <si>
    <t xml:space="preserve">SV-Ersp. AN</t>
  </si>
  <si>
    <t xml:space="preserve">SV-Ersp. AG</t>
  </si>
  <si>
    <t xml:space="preserve">AG-Zuschuss</t>
  </si>
  <si>
    <t xml:space="preserve">steuerfrei</t>
  </si>
  <si>
    <t xml:space="preserve">Vorsorgeaufw.</t>
  </si>
  <si>
    <t xml:space="preserve">zvE mit bAV</t>
  </si>
  <si>
    <t xml:space="preserve">Tarifarg.</t>
  </si>
  <si>
    <t xml:space="preserve">ESt</t>
  </si>
  <si>
    <t xml:space="preserve">Steuer ges.</t>
  </si>
  <si>
    <t xml:space="preserve">N(B)</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</si>
  <si>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</si>
  <si>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</si>
  <si>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</si>
  <si>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</si>
  <si>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</si>
  <si>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</si>
  <si>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</si>
  <si>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</si>
  <si>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</si>
  <si>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</si>
  <si>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</si>
  <si>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</si>
  <si>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</si>
  <si>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</si>
  <si>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</si>
  <si>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</si>
  <si>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</si>
  <si>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</si>
  <si>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19</t>
  </si>
  <si>
    <t xml:space="preserve">20</t>
  </si>
  <si>
    <t xml:space="preserve">21</t>
  </si>
  <si>
    <t xml:space="preserve">22</t>
  </si>
  <si>
    <t xml:space="preserve">23</t>
  </si>
  <si>
    <t xml:space="preserve">24</t>
  </si>
  <si>
    <t xml:space="preserve">25</t>
  </si>
  <si>
    <t xml:space="preserve">26</t>
  </si>
  <si>
    <t xml:space="preserve">27</t>
  </si>
  <si>
    <t xml:space="preserve">28</t>
  </si>
  <si>
    <t xml:space="preserve">29</t>
  </si>
  <si>
    <t xml:space="preserve">30</t>
  </si>
  <si>
    <t xml:space="preserve">31</t>
  </si>
  <si>
    <t xml:space="preserve">32</t>
  </si>
  <si>
    <t xml:space="preserve">33</t>
  </si>
  <si>
    <t xml:space="preserve">34</t>
  </si>
  <si>
    <t xml:space="preserve">ERGEBNIS: Bruttobeitrag p.a.</t>
  </si>
  <si>
    <t xml:space="preserve">Loesung der Gleichung N(B) = Zielwert.</t>
  </si>
  <si>
    <t xml:space="preserve">ERGEBNIS: Bruttobeitrag pro Monat</t>
  </si>
  <si>
    <t xml:space="preserve">Wird im Blatt 'Ansparphase' verwendet, sobald Modus 2 gewaehlt ist.</t>
  </si>
  <si>
    <t xml:space="preserve">Residuum N(B) - Zielwert</t>
  </si>
  <si>
    <t xml:space="preserve">Muss praktisch null sein. Andernfalls ist der Zielwert nicht erreichbar - siehe naechste Zeile.</t>
  </si>
  <si>
    <t xml:space="preserve">Pruefung</t>
  </si>
  <si>
    <t xml:space="preserve">Ansparphase - Jahr fuer Jahr</t>
  </si>
  <si>
    <t xml:space="preserve">Vergleichsprinzip: gleicher NETTOAUFWAND. Der Nettoaufwand der Entgeltumwandlung (Spalte AG) wird in den beiden anderen Optionen investiert. Der Arbeitgeberzuschuss ist das Zusatzgeld, das nur die bAV bekommt.</t>
  </si>
  <si>
    <t xml:space="preserve">Kalender-
jahr</t>
  </si>
  <si>
    <t xml:space="preserve">Alter</t>
  </si>
  <si>
    <t xml:space="preserve">erwerbs-
taetig</t>
  </si>
  <si>
    <t xml:space="preserve">Anspar-
phase</t>
  </si>
  <si>
    <t xml:space="preserve">Lohn-
index</t>
  </si>
  <si>
    <t xml:space="preserve">Tarif-
index L</t>
  </si>
  <si>
    <t xml:space="preserve">Teilzeit-
faktor</t>
  </si>
  <si>
    <t xml:space="preserve">Brutto-
gehalt</t>
  </si>
  <si>
    <t xml:space="preserve">BBG RV</t>
  </si>
  <si>
    <t xml:space="preserve">BBG KV</t>
  </si>
  <si>
    <t xml:space="preserve">bAV Brutto-
beitrag</t>
  </si>
  <si>
    <t xml:space="preserve">davon st.-
frei 3/63</t>
  </si>
  <si>
    <t xml:space="preserve">davon
sv-frei</t>
  </si>
  <si>
    <t xml:space="preserve">AG-
Zuschuss</t>
  </si>
  <si>
    <t xml:space="preserve">Einzahlung
bAV gesamt</t>
  </si>
  <si>
    <t xml:space="preserve">davon ge-
foerdert 3/63</t>
  </si>
  <si>
    <t xml:space="preserve">davon NICHT
gefoerdert</t>
  </si>
  <si>
    <t xml:space="preserve">D RV-Be-
messung</t>
  </si>
  <si>
    <t xml:space="preserve">D KV-Be-
messung</t>
  </si>
  <si>
    <t xml:space="preserve">SV-Ersparnis
AN</t>
  </si>
  <si>
    <t xml:space="preserve">SV-Ersparnis
AG</t>
  </si>
  <si>
    <t xml:space="preserve">Vorsorgeaufw.
ohne bAV</t>
  </si>
  <si>
    <t xml:space="preserve">Vorsorgeaufw.
mit bAV</t>
  </si>
  <si>
    <t xml:space="preserve">zvE ohne
bAV</t>
  </si>
  <si>
    <t xml:space="preserve">zvE mit
bAV</t>
  </si>
  <si>
    <t xml:space="preserve">Tarifarg.
ohne</t>
  </si>
  <si>
    <t xml:space="preserve">ESt ohne</t>
  </si>
  <si>
    <t xml:space="preserve">Steuer ges.
ohne</t>
  </si>
  <si>
    <t xml:space="preserve">Tarifarg.
mit bAV</t>
  </si>
  <si>
    <t xml:space="preserve">ESt mit
bAV</t>
  </si>
  <si>
    <t xml:space="preserve">Steuer ges.
mit bAV</t>
  </si>
  <si>
    <t xml:space="preserve">Steuer-
ersparnis</t>
  </si>
  <si>
    <t xml:space="preserve">NETTO-
AUFWAND</t>
  </si>
  <si>
    <t xml:space="preserve">AV-Depot
Eigenbeitrag</t>
  </si>
  <si>
    <t xml:space="preserve">Grund-
zulage</t>
  </si>
  <si>
    <t xml:space="preserve">Kinder-
zulage</t>
  </si>
  <si>
    <t xml:space="preserve">Zulage
gesamt</t>
  </si>
  <si>
    <t xml:space="preserve">Sonderausg.
10a</t>
  </si>
  <si>
    <t xml:space="preserve">zvE mit
AV-SA</t>
  </si>
  <si>
    <t xml:space="preserve">Tarifarg.
AV</t>
  </si>
  <si>
    <t xml:space="preserve">ESt AV</t>
  </si>
  <si>
    <t xml:space="preserve">Steuer ges.
AV</t>
  </si>
  <si>
    <t xml:space="preserve">Steuervorteil
gesamt</t>
  </si>
  <si>
    <t xml:space="preserve">zusaetzl.
Erstattung</t>
  </si>
  <si>
    <t xml:space="preserve">Zufluss ge-
foerdert</t>
  </si>
  <si>
    <t xml:space="preserve">Zufluss nicht
gefoerdert</t>
  </si>
  <si>
    <t xml:space="preserve">Ueberschuss
&gt; Hoechstbetr.</t>
  </si>
  <si>
    <t xml:space="preserve">Einzahlung
Privatdepot</t>
  </si>
  <si>
    <t xml:space="preserve">KAPITAL bAV
gefoerdert</t>
  </si>
  <si>
    <t xml:space="preserve">KAPITAL bAV
nicht gefoerd.</t>
  </si>
  <si>
    <t xml:space="preserve">KAPITAL AV
gefoerdert</t>
  </si>
  <si>
    <t xml:space="preserve">KAPITAL AV
nicht gef.</t>
  </si>
  <si>
    <t xml:space="preserve">Sleeve Wert</t>
  </si>
  <si>
    <t xml:space="preserve">Sleeve Basis</t>
  </si>
  <si>
    <t xml:space="preserve">Sleeve VP</t>
  </si>
  <si>
    <t xml:space="preserve">Sleeve VP-
Steuer</t>
  </si>
  <si>
    <t xml:space="preserve">KAPITAL
Privatdepot</t>
  </si>
  <si>
    <t xml:space="preserve">Kostenbasis
Privatdepot</t>
  </si>
  <si>
    <t xml:space="preserve">Vorab-
pauschale</t>
  </si>
  <si>
    <t xml:space="preserve">Steuer auf
Vorabpausch.</t>
  </si>
  <si>
    <t xml:space="preserve">D Entgelt-
punkte</t>
  </si>
  <si>
    <t xml:space="preserve">kumulierte
EP-Verluste</t>
  </si>
  <si>
    <t xml:space="preserve">Auszahlungsphase</t>
  </si>
  <si>
    <t xml:space="preserve">Alle drei Optionen sind Alternativen zueinander - die Spalten NETTO ... sind daher nebeneinander, nicht additiv zu lesen. Bei der bAV ist der Verlust an gesetzlicher Rente bereits abgezogen.</t>
  </si>
  <si>
    <t xml:space="preserve">Annuitaetenfaktor Altersvorsorgedepot</t>
  </si>
  <si>
    <t xml:space="preserve">Annuitaetenfaktor privates Depot</t>
  </si>
  <si>
    <t xml:space="preserve">Jahr t seit
heute</t>
  </si>
  <si>
    <t xml:space="preserve">Plan
aktiv</t>
  </si>
  <si>
    <t xml:space="preserve">sonstiges
zvE</t>
  </si>
  <si>
    <t xml:space="preserve">Tarifarg.
Basis</t>
  </si>
  <si>
    <t xml:space="preserve">ESt Basis</t>
  </si>
  <si>
    <t xml:space="preserve">Steuer ges.
Basis</t>
  </si>
  <si>
    <t xml:space="preserve">bAV Zufluss
gefoerdert</t>
  </si>
  <si>
    <t xml:space="preserve">bAV Zufluss
nicht gefoerd.</t>
  </si>
  <si>
    <t xml:space="preserve">bAV Brutto-
zufluss gesamt</t>
  </si>
  <si>
    <t xml:space="preserve">davon steuer-
pflichtig</t>
  </si>
  <si>
    <t xml:space="preserve">Versorgungs-
bezug/Monat</t>
  </si>
  <si>
    <t xml:space="preserve">gesetzl. Rente
/Monat</t>
  </si>
  <si>
    <t xml:space="preserve">VB beitrags-
pflichtig (BBG)</t>
  </si>
  <si>
    <t xml:space="preserve">KV auf bAV</t>
  </si>
  <si>
    <t xml:space="preserve">PV auf bAV</t>
  </si>
  <si>
    <t xml:space="preserve">KV+PV
auf bAV</t>
  </si>
  <si>
    <t xml:space="preserve">Rentenminde-
rung brutto</t>
  </si>
  <si>
    <t xml:space="preserve">Rentenminderung
steuerpflichtig</t>
  </si>
  <si>
    <t xml:space="preserve">KV+PV-Erspar-
nis Rente</t>
  </si>
  <si>
    <t xml:space="preserve">zvE Option
bAV</t>
  </si>
  <si>
    <t xml:space="preserve">Tarifarg.
bAV</t>
  </si>
  <si>
    <t xml:space="preserve">ESt bAV</t>
  </si>
  <si>
    <t xml:space="preserve">Steuer ges.
bAV</t>
  </si>
  <si>
    <t xml:space="preserve">zvE Fuenftel-
regelung</t>
  </si>
  <si>
    <t xml:space="preserve">Tarifarg.
Fuenftel</t>
  </si>
  <si>
    <t xml:space="preserve">ESt Fuenftel</t>
  </si>
  <si>
    <t xml:space="preserve">Steuer ges.
Fuenftel</t>
  </si>
  <si>
    <t xml:space="preserve">STEUER auf
bAV (netto)</t>
  </si>
  <si>
    <t xml:space="preserve">NETTO bAV
(nach Renten-
minderung)</t>
  </si>
  <si>
    <t xml:space="preserve">AV gefoerdert
Stand</t>
  </si>
  <si>
    <t xml:space="preserve">Entnahme
gefoerdert</t>
  </si>
  <si>
    <t xml:space="preserve">AV nicht gef.
Stand</t>
  </si>
  <si>
    <t xml:space="preserve">Entnahme
nicht gef.</t>
  </si>
  <si>
    <t xml:space="preserve">Sleeve
Stand</t>
  </si>
  <si>
    <t xml:space="preserve">Sleeve
Entnahme</t>
  </si>
  <si>
    <t xml:space="preserve">Sleeve
Steuer</t>
  </si>
  <si>
    <t xml:space="preserve">steuerpfl.
AV-Entnahme</t>
  </si>
  <si>
    <t xml:space="preserve">zvE Option
AV-Depot</t>
  </si>
  <si>
    <t xml:space="preserve">NETTO Alters-
vorsorgedepot</t>
  </si>
  <si>
    <t xml:space="preserve">Privatdepot
Stand</t>
  </si>
  <si>
    <t xml:space="preserve">Kostenbasis
Stand</t>
  </si>
  <si>
    <t xml:space="preserve">Entnahme
Privatdepot</t>
  </si>
  <si>
    <t xml:space="preserve">Gewinnanteil
der Entnahme</t>
  </si>
  <si>
    <t xml:space="preserve">Abgeltung-
steuer</t>
  </si>
  <si>
    <t xml:space="preserve">NETTO privates
ETF-Depot</t>
  </si>
  <si>
    <t xml:space="preserve">Diskont-
faktor</t>
  </si>
  <si>
    <t xml:space="preserve">MEMO bAV-Rente
nach dem Horizont</t>
  </si>
  <si>
    <t xml:space="preserve">Abzinsung auf
Rentenbeginn</t>
  </si>
  <si>
    <t xml:space="preserve">Summe nicht gefoerderter Eigenbeitraege (Anschaffungskosten)</t>
  </si>
  <si>
    <t xml:space="preserve">Summe nicht gefoerderter bAV-Beitraege (Anschaffungskosten)</t>
  </si>
  <si>
    <t xml:space="preserve">Zahlungsstroeme aus Sicht des Arbeitnehmers (fuer interne Zinsfuesse und Barwerte)</t>
  </si>
  <si>
    <t xml:space="preserve">Negativ = Aufwand aus dem Netto, positiv = Netto-Zufluss. Alle drei Spalten haben in der Ansparphase denselben Aufwand.</t>
  </si>
  <si>
    <t xml:space="preserve">Jahr</t>
  </si>
  <si>
    <t xml:space="preserve">CF bAV (DYNO)</t>
  </si>
  <si>
    <t xml:space="preserve">CF Altersvorsorgedepot</t>
  </si>
  <si>
    <t xml:space="preserve">CF privates ETF-Depot</t>
  </si>
  <si>
    <t xml:space="preserve">Diskontfaktor</t>
  </si>
  <si>
    <t xml:space="preserve">BW bAV</t>
  </si>
  <si>
    <t xml:space="preserve">BW AV-Depot</t>
  </si>
  <si>
    <t xml:space="preserve">BW privat</t>
  </si>
  <si>
    <t xml:space="preserve">BW Aufwand</t>
  </si>
  <si>
    <t xml:space="preserve">Ergebnisvergleich</t>
  </si>
  <si>
    <t xml:space="preserve">Alle drei Optionen kosten in der Ansparphase exakt denselben Betrag aus dem Netto.</t>
  </si>
  <si>
    <t xml:space="preserve">bAV mit DYNO</t>
  </si>
  <si>
    <t xml:space="preserve">Altersvorsorgedepot</t>
  </si>
  <si>
    <t xml:space="preserve">privates ETF-Depot</t>
  </si>
  <si>
    <t xml:space="preserve">Anmerkung</t>
  </si>
  <si>
    <t xml:space="preserve">Summe eingezahlt aus dem Netto (nominal)</t>
  </si>
  <si>
    <t xml:space="preserve">Identisch nach Konstruktion - das ist die Bedingung fuer einen fairen Vergleich.</t>
  </si>
  <si>
    <t xml:space="preserve">Summe Fremdgeld (AG-Zuschuss bzw. Zulagen)</t>
  </si>
  <si>
    <t xml:space="preserve">Der Arbeitgeberzuschuss ist der eigentliche Grund, warum eine bAV attraktiv sein kann.</t>
  </si>
  <si>
    <t xml:space="preserve">Kapital bei Auszahlungsbeginn (vor Steuern)</t>
  </si>
  <si>
    <t xml:space="preserve">Beim Privatdepot ist die Vorabpauschale bereits jaehrlich abgezogen.</t>
  </si>
  <si>
    <t xml:space="preserve">Summe Bruttoauszahlungen</t>
  </si>
  <si>
    <t xml:space="preserve">Nominal ueber den gesamten Auszahlungshorizont.</t>
  </si>
  <si>
    <t xml:space="preserve">davon Einkommensteuer / Abgeltungsteuer</t>
  </si>
  <si>
    <t xml:space="preserve">bAV und Altersvorsorgedepot: nachgelagerte Besteuerung mit dem persoenlichen Grenzsteuersatz. Privatdepot: 25 % zzgl. Soli/KiSt auf 70 % des Gewinns. In der bAV-Spalte bereits saldiert mit der Steuerersparnis aus der geringeren gesetzlichen Rente.</t>
  </si>
  <si>
    <t xml:space="preserve">davon Kranken- und Pflegeversicherung</t>
  </si>
  <si>
    <t xml:space="preserve">229 SGB V: Betriebsrenten sind Versorgungsbezuege, private Altersvorsorge nicht. In der PKV entfaellt das (Eingabe umstellen).</t>
  </si>
  <si>
    <t xml:space="preserve">Verlust an gesetzlicher Rente (brutto, kumuliert)</t>
  </si>
  <si>
    <t xml:space="preserve">Entgeltumwandlung mindert das rentenversicherungspflichtige Entgelt und damit die Entgeltpunkte.</t>
  </si>
  <si>
    <t xml:space="preserve">Summe Netto-Auszahlungen (nominal)</t>
  </si>
  <si>
    <t xml:space="preserve">Nach Steuern, nach KV/PV, nach Abzug der gesetzlichen Rentenminderung.</t>
  </si>
  <si>
    <t xml:space="preserve">Barwert der Netto-Auszahlungen (heutige Kaufkraft)</t>
  </si>
  <si>
    <t xml:space="preserve">Diskontiert mit der Inflationsrate - das ist die Groesse, die man vergleichen sollte.</t>
  </si>
  <si>
    <t xml:space="preserve">Barwert des Nettoaufwands (heutige Kaufkraft)</t>
  </si>
  <si>
    <t xml:space="preserve">Ebenfalls identisch.</t>
  </si>
  <si>
    <t xml:space="preserve">BARWERT DES NETTO-ERTRAGS (Ertrag minus Aufwand)</t>
  </si>
  <si>
    <t xml:space="preserve">Das Hauptergebnis: was jede Option in heutiger Kaufkraft ueber den eigenen Einsatz hinaus abwirft.</t>
  </si>
  <si>
    <t xml:space="preserve">Verhaeltnis Ertrag zu Aufwand</t>
  </si>
  <si>
    <t xml:space="preserve">Vielfaches des eingesetzten Nettokapitals, real.</t>
  </si>
  <si>
    <t xml:space="preserve">Interner Zinsfuss (nominal, p.a.)</t>
  </si>
  <si>
    <t xml:space="preserve">Rendite auf den tatsaechlichen Nettoeinsatz. Direkt mit der Bruttorendite des ETF vergleichbar.</t>
  </si>
  <si>
    <t xml:space="preserve">Vorsprung gegenueber dem privaten ETF-Depot</t>
  </si>
  <si>
    <t xml:space="preserve">Positiv heisst: die gefoerderte Variante lohnt sich unter den eingestellten Annahmen.</t>
  </si>
  <si>
    <t xml:space="preserve">Vorsprung in Prozent</t>
  </si>
  <si>
    <t xml:space="preserve">DIAGNOSE</t>
  </si>
  <si>
    <t xml:space="preserve">Grenzsteuersatz in der Ansparphase (erstes Jahr)</t>
  </si>
  <si>
    <t xml:space="preserve">Ersparnis je umgewandeltem Euro, ohne die Sozialversicherung.</t>
  </si>
  <si>
    <t xml:space="preserve">Ersparnisquote gesamt (Steuer + SV) im ersten Jahr</t>
  </si>
  <si>
    <t xml:space="preserve">So viel vom Bruttobeitrag zahlt der Staat. Genau dieser Vorteil wird spaeter nachgelagert zurueckgeholt.</t>
  </si>
  <si>
    <t xml:space="preserve">Abgabenlast der bAV-Auszahlung (Steuer + KV/PV)</t>
  </si>
  <si>
    <t xml:space="preserve">Bei Kapitalauszahlung schlaegt die Progression in einem einzigen Jahr voll durch.</t>
  </si>
  <si>
    <t xml:space="preserve">Abgabenlast der Altersvorsorgedepot-Auszahlung</t>
  </si>
  <si>
    <t xml:space="preserve">Abgabenlast der Privatdepot-Auszahlung</t>
  </si>
  <si>
    <t xml:space="preserve">25 % zzgl. Soli auf 70 % des Gewinns, also deutlich weniger als der Grenzsteuersatz.</t>
  </si>
  <si>
    <t xml:space="preserve">Tatsaechliche SV-Ersparnis des ARBEITGEBERS (erstes Jahr)</t>
  </si>
  <si>
    <t xml:space="preserve">Null, wenn Ihr Entgelt auch nach der Umwandlung noch ueber beiden Beitragsbemessungsgrenzen liegt. Dann schuldet der Arbeitgeber nach 1a Abs. 1a BetrAVG auch keinen Zuschuss - er kann ihn aber freiwillig zusagen (Modus 0 oder 1).</t>
  </si>
  <si>
    <t xml:space="preserve">Tatsaechliche SV-Ersparnis des ARBEITNEHMERS (erstes Jahr)</t>
  </si>
  <si>
    <t xml:space="preserve">Ebenfalls null oberhalb der Grenzen - dafuer gehen dann auch keine Entgeltpunkte verloren. Beides haengt an derselben Groesse.</t>
  </si>
  <si>
    <t xml:space="preserve">Anteil der bAV-Beitraege OHNE Foerderung (erstes Jahr)</t>
  </si>
  <si>
    <t xml:space="preserve">Alles oberhalb von 8 % der BBG-RV ist weder steuer- noch sozialabgabenbeguenstigt. Diese Schicht wandert in einen Versicherungsmantel, ohne dafuer etwas zu bekommen - ausser der Beitragspflicht in der KV. Ist dieser Anteil gross, ist die bAV strukturell unterlegen.</t>
  </si>
  <si>
    <t xml:space="preserve">Ausschoepfung des Rechtsanspruchs nach 1a BetrAVG (4 % BBG)</t>
  </si>
  <si>
    <t xml:space="preserve">Ueber 100 % besteht kein Rechtsanspruch mehr auf Entgeltumwandlung; darueber hinaus ist die Zustimmung des Arbeitgebers noetig.</t>
  </si>
  <si>
    <t xml:space="preserve">Versorgungsbezug pro Monat zu Beginn der Auszahlung</t>
  </si>
  <si>
    <t xml:space="preserve">Bei Kapitalauszahlung ein Hundertzwanzigstel der Leistung fuer 120 Monate ( 229 Abs. 1 S. 3 SGB V), bei Rente die laufende Monatsrente.</t>
  </si>
  <si>
    <t xml:space="preserve">Freibetrag Versorgungsbezuege im Auszahlungsjahr</t>
  </si>
  <si>
    <t xml:space="preserve">Ein Zwanzigstel der Bezugsgroesse, 226 Abs. 2 S. 2 SGB V. 2026: 197,75 EUR; waechst mit der Lohnentwicklung.</t>
  </si>
  <si>
    <t xml:space="preserve">Verhaeltnis Versorgungsbezug zu Freibetrag</t>
  </si>
  <si>
    <t xml:space="preserve">Bei einem Wert bis 1,00 faellt WEDER Kranken- NOCH Pflegeversicherung an. Darueber greift die KV nur auf den uebersteigenden Teil zu, die PV wegen ihrer Freigrenze dagegen auf den GESAMTEN Betrag. Weil der Freibetrag absolut ist, faellt seine Schutzwirkung wie 1/Kapital - deshalb sinkt die Rendite der bAV streng monoton in der Beitragshoehe.</t>
  </si>
  <si>
    <t xml:space="preserve">Beitragsfrei moegliches Kapital bei Kapitalauszahlung</t>
  </si>
  <si>
    <t xml:space="preserve">120 x Freibetrag. Vergleichen Sie mit Zeile 7. Liegt Ihr Kapital darueber, zahlen Sie auf den Ueberschuss den vollen Beitragssatz allein.</t>
  </si>
  <si>
    <t xml:space="preserve">Beitragsfrei moegliches Kapital bei lebenslanger Rente</t>
  </si>
  <si>
    <t xml:space="preserve">Die Verrentung streckt den Bezug auf die Restlebenszeit statt auf 120 Monate und schirmt deshalb ein Vielfaches an Kapital unter demselben Freibetrag ab. Ein Vorteil, den der Barwertvergleich ueber einen festen Horizont nicht abbildet.</t>
  </si>
  <si>
    <t xml:space="preserve">MEMO: bAV-Rentenzahlungen nach dem Vergleichshorizont</t>
  </si>
  <si>
    <t xml:space="preserve">Nur bei Auszahlungsform 2. Eine lebenslange Rente zahlt ueber den Horizont hinaus - diesen Betrag beruecksichtigt der Vergleich NICHT. Wer alt wird, gewinnt hier.</t>
  </si>
  <si>
    <t xml:space="preserve">Hinweis: Ein Foerderungsanteil deutlich ueber 0 %, eine Ausschoepfung ueber 100 % oder ein Verhaeltnis Versorgungsbezug zu Freibetrag deutlich ueber 1,00 zeigen an, dass Sie ausserhalb des beguenstigten Korridors liegen.</t>
  </si>
  <si>
    <t xml:space="preserve">MONATLICHE LEISTUNG - alle Optionen auf denselben Zeitraum verrentet</t>
  </si>
  <si>
    <t xml:space="preserve">Wert aller Netto-Leistungen bei Rentenbeginn</t>
  </si>
  <si>
    <t xml:space="preserve">Alle Netto-Zahlungen mit dem Wiederanlagezins nach Steuern auf den Rentenbeginn bezogen. Ein Einmalbetrag und ein Zahlungsstrom werden damit vergleichbar - der Zeitpunkt wird bewertet statt ignoriert.</t>
  </si>
  <si>
    <t xml:space="preserve">Bruttoleistung pro Monat</t>
  </si>
  <si>
    <t xml:space="preserve">Konstante nominale Monatszahlung ueber die Auszahlungsphase mit demselben Wert. Weil die Verrentung linear ist, addieren sich die folgenden Zeilen exakt.</t>
  </si>
  <si>
    <t xml:space="preserve">abzueglich Einkommen-/Abgeltungsteuer</t>
  </si>
  <si>
    <t xml:space="preserve">bAV und Altersvorsorgedepot: persoenlicher Grenzsteuersatz. Privatdepot: nur der Gewinnanteil der Entnahme, mit 30 % Teilfreistellung.</t>
  </si>
  <si>
    <t xml:space="preserve">abzueglich Kranken- und Pflegeversicherung</t>
  </si>
  <si>
    <t xml:space="preserve">229, 250 SGB V. Nur die bAV ist betroffen.</t>
  </si>
  <si>
    <t xml:space="preserve">abzueglich Verlust an gesetzlicher Rente</t>
  </si>
  <si>
    <t xml:space="preserve">Netto entgangene gesetzliche Rente aus der Entgeltumwandlung.</t>
  </si>
  <si>
    <t xml:space="preserve">NETTO PRO MONAT (nominal)</t>
  </si>
  <si>
    <t xml:space="preserve">Summe der vier Zeilen darueber. Gegenprobe fuer die Additivitaet.</t>
  </si>
  <si>
    <t xml:space="preserve">NETTO PRO MONAT in heutiger Kaufkraft</t>
  </si>
  <si>
    <t xml:space="preserve">Die einzige Zahl, die man unmittelbar mit dem heutigen Nettoeinkommen vergleichen kann.</t>
  </si>
  <si>
    <t xml:space="preserve">Der Bezugszeitraum ist fuer alle drei Optionen identisch (Rentenbeginn bis Vergleichshorizont). Bei Kapitalauszahlung wird der Einmalbetrag also nicht durch zwoelf geteilt, sondern mit dem Wiederanlagezins aus dem Blatt 'Parameter' auf denselben Zeitraum verrentet. Wer ihn verkonsumiert statt anzulegen, steht schlechter - dann den Wiederanlagezins auf 0 setzen.</t>
  </si>
  <si>
    <t xml:space="preserve">Barwert Netto-Ertrag bAV</t>
  </si>
  <si>
    <t xml:space="preserve">Barwert Netto-Ertrag Altersvorsorgedepot</t>
  </si>
  <si>
    <t xml:space="preserve">Barwert Netto-Ertrag privates Depot</t>
  </si>
</sst>
</file>

<file path=xl/styles.xml><?xml version="1.0" encoding="utf-8"?>
<styleSheet xmlns="http://schemas.openxmlformats.org/spreadsheetml/2006/main">
  <numFmts count="9">
    <numFmt numFmtId="164" formatCode="General"/>
    <numFmt numFmtId="165" formatCode="0.0%"/>
    <numFmt numFmtId="166" formatCode="#,##0;\(#,##0\);\-"/>
    <numFmt numFmtId="167" formatCode="0.00%"/>
    <numFmt numFmtId="168" formatCode="#,##0.00;\(#,##0.00\);\-"/>
    <numFmt numFmtId="169" formatCode="0"/>
    <numFmt numFmtId="170" formatCode="0.0000"/>
    <numFmt numFmtId="171" formatCode="0.000000"/>
    <numFmt numFmtId="172" formatCode="0.00\x"/>
  </numFmts>
  <fonts count="23">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i val="true"/>
      <sz val="10"/>
      <color rgb="FF595959"/>
      <name val="Arial"/>
      <family val="0"/>
      <charset val="1"/>
    </font>
    <font>
      <sz val="10"/>
      <name val="Arial"/>
      <family val="0"/>
      <charset val="1"/>
    </font>
    <font>
      <b val="true"/>
      <sz val="11"/>
      <color rgb="FF1F3864"/>
      <name val="Arial"/>
      <family val="0"/>
      <charset val="1"/>
    </font>
    <font>
      <b val="true"/>
      <sz val="10"/>
      <name val="Arial"/>
      <family val="0"/>
      <charset val="1"/>
    </font>
    <font>
      <i val="true"/>
      <sz val="9"/>
      <color rgb="FF595959"/>
      <name val="Arial"/>
      <family val="0"/>
      <charset val="1"/>
    </font>
    <font>
      <i val="true"/>
      <sz val="10"/>
      <name val="Arial"/>
      <family val="0"/>
      <charset val="1"/>
    </font>
    <font>
      <sz val="10"/>
      <color rgb="FF0000FF"/>
      <name val="Arial"/>
      <family val="0"/>
      <charset val="1"/>
    </font>
    <font>
      <sz val="9"/>
      <color rgb="FF808080"/>
      <name val="Arial"/>
      <family val="0"/>
      <charset val="1"/>
    </font>
    <font>
      <sz val="9"/>
      <color rgb="FF595959"/>
      <name val="Arial"/>
      <family val="0"/>
      <charset val="1"/>
    </font>
    <font>
      <b val="true"/>
      <sz val="11"/>
      <color rgb="FF008000"/>
      <name val="Arial"/>
      <family val="0"/>
      <charset val="1"/>
    </font>
    <font>
      <sz val="10"/>
      <color rgb="FF008000"/>
      <name val="Arial"/>
      <family val="0"/>
      <charset val="1"/>
    </font>
    <font>
      <b val="true"/>
      <sz val="9"/>
      <color rgb="FFFFFFFF"/>
      <name val="Arial"/>
      <family val="0"/>
      <charset val="1"/>
    </font>
    <font>
      <b val="true"/>
      <sz val="11"/>
      <color rgb="FFC00000"/>
      <name val="Arial"/>
      <family val="0"/>
      <charset val="1"/>
    </font>
    <font>
      <i val="true"/>
      <sz val="9"/>
      <color rgb="FFC00000"/>
      <name val="Arial"/>
      <family val="0"/>
      <charset val="1"/>
    </font>
    <font>
      <b val="true"/>
      <sz val="9"/>
      <color rgb="FF1F3864"/>
      <name val="Arial"/>
      <family val="0"/>
      <charset val="1"/>
    </font>
    <font>
      <b val="true"/>
      <sz val="18"/>
      <color rgb="FF000000"/>
      <name val="Calibri"/>
      <family val="2"/>
    </font>
    <font>
      <sz val="10"/>
      <color rgb="FF000000"/>
      <name val="Calibri"/>
      <family val="2"/>
    </font>
    <font>
      <b val="true"/>
      <sz val="10"/>
      <color rgb="FF000000"/>
      <name val="Calibri"/>
      <family val="2"/>
    </font>
  </fonts>
  <fills count="7">
    <fill>
      <patternFill patternType="none"/>
    </fill>
    <fill>
      <patternFill patternType="gray125"/>
    </fill>
    <fill>
      <patternFill patternType="solid">
        <fgColor rgb="FFD9E1F2"/>
        <bgColor rgb="FFD9D9D9"/>
      </patternFill>
    </fill>
    <fill>
      <patternFill patternType="solid">
        <fgColor rgb="FFFFFF00"/>
        <bgColor rgb="FFFFFF00"/>
      </patternFill>
    </fill>
    <fill>
      <patternFill patternType="solid">
        <fgColor rgb="FF1F3864"/>
        <bgColor rgb="FF333333"/>
      </patternFill>
    </fill>
    <fill>
      <patternFill patternType="solid">
        <fgColor rgb="FFF2F2F2"/>
        <bgColor rgb="FFE2EFDA"/>
      </patternFill>
    </fill>
    <fill>
      <patternFill patternType="solid">
        <fgColor rgb="FFE2EFDA"/>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3"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11" fillId="3" borderId="1" xfId="0" applyFont="true" applyBorder="true" applyAlignment="false" applyProtection="false">
      <alignment horizontal="general" vertical="bottom" textRotation="0" wrapText="false" indent="0" shrinkToFit="false"/>
      <protection locked="true" hidden="false"/>
    </xf>
    <xf numFmtId="166" fontId="11" fillId="3" borderId="1" xfId="0" applyFont="true" applyBorder="true" applyAlignment="false" applyProtection="false">
      <alignment horizontal="general" vertical="bottom" textRotation="0" wrapText="false" indent="0" shrinkToFit="false"/>
      <protection locked="true" hidden="false"/>
    </xf>
    <xf numFmtId="167" fontId="11" fillId="3" borderId="1" xfId="0" applyFont="true" applyBorder="true" applyAlignment="false" applyProtection="false">
      <alignment horizontal="general" vertical="bottom" textRotation="0" wrapText="false" indent="0" shrinkToFit="false"/>
      <protection locked="true" hidden="false"/>
    </xf>
    <xf numFmtId="166" fontId="14" fillId="0" borderId="1" xfId="0" applyFont="true" applyBorder="true" applyAlignment="false" applyProtection="false">
      <alignment horizontal="general" vertical="bottom" textRotation="0" wrapText="false" indent="0" shrinkToFit="false"/>
      <protection locked="true" hidden="false"/>
    </xf>
    <xf numFmtId="168" fontId="14"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8" fontId="15" fillId="0" borderId="0" xfId="0" applyFont="true" applyBorder="false" applyAlignment="false" applyProtection="false">
      <alignment horizontal="general" vertical="bottom" textRotation="0" wrapText="false" indent="0" shrinkToFit="false"/>
      <protection locked="true" hidden="false"/>
    </xf>
    <xf numFmtId="168" fontId="11" fillId="3" borderId="1" xfId="0" applyFont="true" applyBorder="true" applyAlignment="false" applyProtection="false">
      <alignment horizontal="general" vertical="bottom" textRotation="0" wrapText="false" indent="0" shrinkToFit="false"/>
      <protection locked="true" hidden="false"/>
    </xf>
    <xf numFmtId="168" fontId="6" fillId="0" borderId="1" xfId="0" applyFont="true" applyBorder="true" applyAlignment="false" applyProtection="false">
      <alignment horizontal="general" vertical="bottom" textRotation="0" wrapText="fals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9" fontId="6"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5" fontId="15" fillId="0" borderId="1" xfId="0" applyFont="true" applyBorder="true" applyAlignment="false" applyProtection="false">
      <alignment horizontal="general" vertical="bottom" textRotation="0" wrapText="false" indent="0" shrinkToFit="false"/>
      <protection locked="true" hidden="false"/>
    </xf>
    <xf numFmtId="166" fontId="15" fillId="0" borderId="1" xfId="0" applyFont="true" applyBorder="true" applyAlignment="false" applyProtection="false">
      <alignment horizontal="general" vertical="bottom" textRotation="0" wrapText="false" indent="0" shrinkToFit="false"/>
      <protection locked="true" hidden="false"/>
    </xf>
    <xf numFmtId="170" fontId="15" fillId="0" borderId="1" xfId="0" applyFont="true" applyBorder="true" applyAlignment="false" applyProtection="false">
      <alignment horizontal="general" vertical="bottom" textRotation="0" wrapText="false" indent="0" shrinkToFit="false"/>
      <protection locked="true" hidden="false"/>
    </xf>
    <xf numFmtId="164" fontId="16" fillId="4" borderId="0" xfId="0" applyFont="true" applyBorder="false" applyAlignment="true" applyProtection="false">
      <alignment horizontal="center" vertical="bottom" textRotation="0" wrapText="true" indent="0" shrinkToFit="false"/>
      <protection locked="true" hidden="false"/>
    </xf>
    <xf numFmtId="169" fontId="6" fillId="0" borderId="0" xfId="0" applyFont="true" applyBorder="false" applyAlignment="false" applyProtection="false">
      <alignment horizontal="general" vertical="bottom" textRotation="0" wrapText="false" indent="0" shrinkToFit="false"/>
      <protection locked="true" hidden="false"/>
    </xf>
    <xf numFmtId="168" fontId="6" fillId="0" borderId="0" xfId="0" applyFont="true" applyBorder="false" applyAlignment="false" applyProtection="false">
      <alignment horizontal="general" vertical="bottom" textRotation="0" wrapText="false" indent="0" shrinkToFit="false"/>
      <protection locked="true" hidden="false"/>
    </xf>
    <xf numFmtId="169" fontId="6" fillId="5" borderId="0" xfId="0" applyFont="true" applyBorder="false" applyAlignment="false" applyProtection="false">
      <alignment horizontal="general" vertical="bottom" textRotation="0" wrapText="false" indent="0" shrinkToFit="false"/>
      <protection locked="true" hidden="false"/>
    </xf>
    <xf numFmtId="168" fontId="6" fillId="5" borderId="0" xfId="0" applyFont="true" applyBorder="false" applyAlignment="false" applyProtection="false">
      <alignment horizontal="general" vertical="bottom" textRotation="0" wrapText="false" indent="0" shrinkToFit="false"/>
      <protection locked="true" hidden="false"/>
    </xf>
    <xf numFmtId="171" fontId="14" fillId="0" borderId="1" xfId="0" applyFont="true" applyBorder="true" applyAlignment="false" applyProtection="false">
      <alignment horizontal="general" vertical="bottom" textRotation="0" wrapText="false" indent="0" shrinkToFit="false"/>
      <protection locked="true" hidden="false"/>
    </xf>
    <xf numFmtId="164" fontId="17" fillId="0"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6" fillId="4" borderId="0" xfId="0" applyFont="true" applyBorder="false" applyAlignment="true" applyProtection="false">
      <alignment horizontal="center" vertical="center" textRotation="0" wrapText="true" indent="0" shrinkToFit="false"/>
      <protection locked="true" hidden="false"/>
    </xf>
    <xf numFmtId="170" fontId="6" fillId="0"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70" fontId="6" fillId="5" borderId="0" xfId="0" applyFont="true" applyBorder="false" applyAlignment="false" applyProtection="false">
      <alignment horizontal="general" vertical="bottom" textRotation="0" wrapText="false" indent="0" shrinkToFit="false"/>
      <protection locked="true" hidden="false"/>
    </xf>
    <xf numFmtId="165" fontId="6" fillId="5" borderId="0" xfId="0" applyFont="true" applyBorder="false" applyAlignment="false" applyProtection="false">
      <alignment horizontal="general" vertical="bottom" textRotation="0" wrapText="false" indent="0" shrinkToFit="false"/>
      <protection locked="true" hidden="false"/>
    </xf>
    <xf numFmtId="166" fontId="6" fillId="5"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70" fontId="0" fillId="0" borderId="0" xfId="0" applyFont="fals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true" indent="0" shrinkToFit="false"/>
      <protection locked="true" hidden="false"/>
    </xf>
    <xf numFmtId="166" fontId="14" fillId="6" borderId="1" xfId="0" applyFont="true" applyBorder="true" applyAlignment="false" applyProtection="false">
      <alignment horizontal="general" vertical="bottom" textRotation="0" wrapText="false" indent="0" shrinkToFit="false"/>
      <protection locked="true" hidden="false"/>
    </xf>
    <xf numFmtId="172" fontId="15" fillId="0" borderId="1" xfId="0" applyFont="true" applyBorder="true" applyAlignment="false" applyProtection="false">
      <alignment horizontal="general" vertical="bottom" textRotation="0" wrapText="false" indent="0" shrinkToFit="false"/>
      <protection locked="true" hidden="false"/>
    </xf>
    <xf numFmtId="167" fontId="15" fillId="0" borderId="1" xfId="0" applyFont="true" applyBorder="true" applyAlignment="false" applyProtection="false">
      <alignment horizontal="general" vertical="bottom" textRotation="0" wrapText="false" indent="0" shrinkToFit="false"/>
      <protection locked="true" hidden="false"/>
    </xf>
    <xf numFmtId="168" fontId="15" fillId="0" borderId="1"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2" borderId="0" xfId="0" applyFont="true" applyBorder="false" applyAlignment="true" applyProtection="false">
      <alignment horizontal="center" vertical="bottom" textRotation="0" wrapText="false" indent="0" shrinkToFit="false"/>
      <protection locked="true" hidden="false"/>
    </xf>
    <xf numFmtId="168" fontId="14" fillId="6"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6" fontId="12"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D9E1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4F81BD"/>
      <rgbColor rgb="FF33CCCC"/>
      <rgbColor rgb="FF99CC00"/>
      <rgbColor rgb="FFFFCC00"/>
      <rgbColor rgb="FFFF9900"/>
      <rgbColor rgb="FFFF6600"/>
      <rgbColor rgb="FF595959"/>
      <rgbColor rgb="FF878787"/>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charts/_rels/chart1.xml.rels><?xml version="1.0" encoding="UTF-8"?>
<Relationships xmlns="http://schemas.openxmlformats.org/package/2006/relationships"><Relationship Id="rId1" Type="http://schemas.microsoft.com/office/2011/relationships/chartStyle" Target="style1.xml"/><Relationship Id="rId2" Type="http://schemas.microsoft.com/office/2011/relationships/chartColorStyle" Target="colors1.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rPr>
              <a:t>Barwert des Netto-Ertrags (heutige Kaufkraft)</a:t>
            </a:r>
          </a:p>
        </c:rich>
      </c:tx>
      <c:overlay val="0"/>
      <c:spPr>
        <a:noFill/>
        <a:ln w="0">
          <a:noFill/>
        </a:ln>
      </c:spPr>
    </c:title>
    <c:autoTitleDeleted val="0"/>
    <c:plotArea>
      <c:barChart>
        <c:barDir val="col"/>
        <c:grouping val="clustered"/>
        <c:varyColors val="0"/>
        <c:ser>
          <c:idx val="0"/>
          <c:order val="0"/>
          <c:spPr>
            <a:solidFill>
              <a:srgbClr val="4F81BD"/>
            </a:solidFill>
            <a:ln w="12600">
              <a:no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Vergleich!$A$50:$A$52</c:f>
              <c:strCache>
                <c:ptCount val="3"/>
                <c:pt idx="0">
                  <c:v>Barwert Netto-Ertrag bAV</c:v>
                </c:pt>
                <c:pt idx="1">
                  <c:v>Barwert Netto-Ertrag Altersvorsorgedepot</c:v>
                </c:pt>
                <c:pt idx="2">
                  <c:v>Barwert Netto-Ertrag privates Depot</c:v>
                </c:pt>
              </c:strCache>
            </c:strRef>
          </c:cat>
          <c:val>
            <c:numRef>
              <c:f>Vergleich!$B$50:$B$52</c:f>
              <c:numCache>
                <c:formatCode>#,##0;\(#,##0\);\-</c:formatCode>
                <c:ptCount val="3"/>
                <c:pt idx="0">
                  <c:v>27736.6288798114</c:v>
                </c:pt>
                <c:pt idx="1">
                  <c:v>88413.6569417605</c:v>
                </c:pt>
                <c:pt idx="2">
                  <c:v>73739.8449759836</c:v>
                </c:pt>
              </c:numCache>
            </c:numRef>
          </c:val>
        </c:ser>
        <c:gapWidth val="150"/>
        <c:overlap val="0"/>
        <c:axId val="68156777"/>
        <c:axId val="44390445"/>
      </c:barChart>
      <c:catAx>
        <c:axId val="68156777"/>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44390445"/>
        <c:crosses val="autoZero"/>
        <c:auto val="1"/>
        <c:lblAlgn val="ctr"/>
        <c:lblOffset val="100"/>
        <c:noMultiLvlLbl val="0"/>
      </c:catAx>
      <c:valAx>
        <c:axId val="44390445"/>
        <c:scaling>
          <c:orientation val="minMax"/>
        </c:scaling>
        <c:delete val="0"/>
        <c:axPos val="l"/>
        <c:majorGridlines>
          <c:spPr>
            <a:ln w="9360">
              <a:solidFill>
                <a:srgbClr val="878787"/>
              </a:solidFill>
              <a:round/>
            </a:ln>
          </c:spPr>
        </c:majorGridlines>
        <c:title>
          <c:tx>
            <c:rich>
              <a:bodyPr rot="-5400000"/>
              <a:lstStyle/>
              <a:p>
                <a:pPr>
                  <a:defRPr sz="1300" b="0" u="none" strike="noStrike">
                    <a:uFillTx/>
                    <a:latin typeface="Arial"/>
                  </a:defRPr>
                </a:pPr>
                <a:r>
                  <a:rPr sz="1000" b="1" u="none" strike="noStrike">
                    <a:solidFill>
                      <a:srgbClr val="000000"/>
                    </a:solidFill>
                    <a:uFillTx/>
                    <a:latin typeface="Calibri"/>
                  </a:rPr>
                  <a:t>EUR</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68156777"/>
        <c:crosses val="autoZero"/>
        <c:crossBetween val="between"/>
      </c:valAx>
      <c:spPr>
        <a:solidFill>
          <a:srgbClr val="FFFFFF"/>
        </a:solidFill>
        <a:ln w="0">
          <a:noFill/>
        </a:ln>
      </c:spPr>
    </c:plotArea>
    <c:plotVisOnly val="1"/>
    <c:dispBlanksAs val="gap"/>
  </c:chart>
  <c:spPr>
    <a:solidFill>
      <a:srgbClr val="FFFFFF"/>
    </a:solidFill>
    <a:ln w="9360">
      <a:solidFill>
        <a:srgbClr val="D9D9D9"/>
      </a:solidFill>
      <a:round/>
    </a:ln>
  </c:spPr>
</c:chartSpace>
</file>

<file path=xl/charts/colors1.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54</xdr:row>
      <xdr:rowOff>0</xdr:rowOff>
    </xdr:from>
    <xdr:to>
      <xdr:col>2</xdr:col>
      <xdr:colOff>621720</xdr:colOff>
      <xdr:row>69</xdr:row>
      <xdr:rowOff>21960</xdr:rowOff>
    </xdr:to>
    <xdr:graphicFrame>
      <xdr:nvGraphicFramePr>
        <xdr:cNvPr id="1" name="Chart 1"/>
        <xdr:cNvGraphicFramePr/>
      </xdr:nvGraphicFramePr>
      <xdr:xfrm>
        <a:off x="0" y="12553200"/>
        <a:ext cx="6119640" cy="287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9.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9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30"/>
  </cols>
  <sheetData>
    <row r="2" customFormat="false" ht="17.35" hidden="false" customHeight="false" outlineLevel="0" collapsed="false">
      <c r="B2" s="1" t="s">
        <v>0</v>
      </c>
    </row>
    <row r="3" customFormat="false" ht="15" hidden="false" customHeight="false" outlineLevel="0" collapsed="false">
      <c r="B3" s="2" t="s">
        <v>1</v>
      </c>
    </row>
    <row r="4" customFormat="false" ht="15" hidden="false" customHeight="false" outlineLevel="0" collapsed="false">
      <c r="B4" s="3"/>
    </row>
    <row r="5" customFormat="false" ht="15" hidden="false" customHeight="false" outlineLevel="0" collapsed="false">
      <c r="B5" s="4" t="s">
        <v>2</v>
      </c>
    </row>
    <row r="6" customFormat="false" ht="15" hidden="false" customHeight="false" outlineLevel="0" collapsed="false">
      <c r="B6" s="3" t="s">
        <v>3</v>
      </c>
    </row>
    <row r="7" customFormat="false" ht="15" hidden="false" customHeight="false" outlineLevel="0" collapsed="false">
      <c r="B7" s="3" t="s">
        <v>4</v>
      </c>
    </row>
    <row r="8" customFormat="false" ht="15" hidden="false" customHeight="false" outlineLevel="0" collapsed="false">
      <c r="B8" s="3" t="s">
        <v>5</v>
      </c>
    </row>
    <row r="9" customFormat="false" ht="15" hidden="false" customHeight="false" outlineLevel="0" collapsed="false">
      <c r="B9" s="3" t="s">
        <v>6</v>
      </c>
    </row>
    <row r="10" customFormat="false" ht="15" hidden="false" customHeight="false" outlineLevel="0" collapsed="false">
      <c r="B10" s="3" t="s">
        <v>7</v>
      </c>
    </row>
    <row r="11" customFormat="false" ht="15" hidden="false" customHeight="false" outlineLevel="0" collapsed="false">
      <c r="B11" s="3" t="s">
        <v>8</v>
      </c>
    </row>
    <row r="12" customFormat="false" ht="15" hidden="false" customHeight="false" outlineLevel="0" collapsed="false">
      <c r="B12" s="3" t="s">
        <v>9</v>
      </c>
    </row>
    <row r="13" customFormat="false" ht="15" hidden="false" customHeight="false" outlineLevel="0" collapsed="false">
      <c r="B13" s="3" t="s">
        <v>10</v>
      </c>
    </row>
    <row r="14" customFormat="false" ht="15" hidden="false" customHeight="false" outlineLevel="0" collapsed="false">
      <c r="B14" s="3"/>
    </row>
    <row r="15" customFormat="false" ht="15" hidden="false" customHeight="false" outlineLevel="0" collapsed="false">
      <c r="B15" s="4" t="s">
        <v>11</v>
      </c>
    </row>
    <row r="16" customFormat="false" ht="15" hidden="false" customHeight="false" outlineLevel="0" collapsed="false">
      <c r="B16" s="3" t="s">
        <v>12</v>
      </c>
    </row>
    <row r="17" customFormat="false" ht="15" hidden="false" customHeight="false" outlineLevel="0" collapsed="false">
      <c r="B17" s="3" t="s">
        <v>13</v>
      </c>
    </row>
    <row r="18" customFormat="false" ht="15" hidden="false" customHeight="false" outlineLevel="0" collapsed="false">
      <c r="B18" s="3" t="s">
        <v>14</v>
      </c>
    </row>
    <row r="19" customFormat="false" ht="15" hidden="false" customHeight="false" outlineLevel="0" collapsed="false">
      <c r="B19" s="3" t="s">
        <v>15</v>
      </c>
    </row>
    <row r="20" customFormat="false" ht="15" hidden="false" customHeight="false" outlineLevel="0" collapsed="false">
      <c r="B20" s="3" t="s">
        <v>16</v>
      </c>
    </row>
    <row r="21" customFormat="false" ht="15" hidden="false" customHeight="false" outlineLevel="0" collapsed="false">
      <c r="B21" s="3" t="s">
        <v>17</v>
      </c>
    </row>
    <row r="22" customFormat="false" ht="15" hidden="false" customHeight="false" outlineLevel="0" collapsed="false">
      <c r="B22" s="3" t="s">
        <v>18</v>
      </c>
    </row>
    <row r="23" customFormat="false" ht="15" hidden="false" customHeight="false" outlineLevel="0" collapsed="false">
      <c r="B23" s="3" t="s">
        <v>19</v>
      </c>
    </row>
    <row r="24" customFormat="false" ht="15" hidden="false" customHeight="false" outlineLevel="0" collapsed="false">
      <c r="B24" s="3"/>
    </row>
    <row r="25" customFormat="false" ht="15" hidden="false" customHeight="false" outlineLevel="0" collapsed="false">
      <c r="B25" s="4" t="s">
        <v>20</v>
      </c>
    </row>
    <row r="26" customFormat="false" ht="15" hidden="false" customHeight="false" outlineLevel="0" collapsed="false">
      <c r="B26" s="3" t="s">
        <v>21</v>
      </c>
    </row>
    <row r="27" customFormat="false" ht="15" hidden="false" customHeight="false" outlineLevel="0" collapsed="false">
      <c r="B27" s="3" t="s">
        <v>22</v>
      </c>
    </row>
    <row r="28" customFormat="false" ht="15" hidden="false" customHeight="false" outlineLevel="0" collapsed="false">
      <c r="B28" s="3" t="s">
        <v>23</v>
      </c>
    </row>
    <row r="29" customFormat="false" ht="15" hidden="false" customHeight="false" outlineLevel="0" collapsed="false">
      <c r="B29" s="3" t="s">
        <v>24</v>
      </c>
    </row>
    <row r="30" customFormat="false" ht="15" hidden="false" customHeight="false" outlineLevel="0" collapsed="false">
      <c r="B30" s="3" t="s">
        <v>25</v>
      </c>
    </row>
    <row r="31" customFormat="false" ht="15" hidden="false" customHeight="false" outlineLevel="0" collapsed="false">
      <c r="B31" s="3" t="s">
        <v>26</v>
      </c>
    </row>
    <row r="32" customFormat="false" ht="15" hidden="false" customHeight="false" outlineLevel="0" collapsed="false">
      <c r="B32" s="3" t="s">
        <v>27</v>
      </c>
    </row>
    <row r="33" customFormat="false" ht="15" hidden="false" customHeight="false" outlineLevel="0" collapsed="false">
      <c r="B33" s="3" t="s">
        <v>28</v>
      </c>
    </row>
    <row r="34" customFormat="false" ht="15" hidden="false" customHeight="false" outlineLevel="0" collapsed="false">
      <c r="B34" s="3" t="s">
        <v>29</v>
      </c>
    </row>
    <row r="35" customFormat="false" ht="15" hidden="false" customHeight="false" outlineLevel="0" collapsed="false">
      <c r="B35" s="3" t="s">
        <v>30</v>
      </c>
    </row>
    <row r="36" customFormat="false" ht="15" hidden="false" customHeight="false" outlineLevel="0" collapsed="false">
      <c r="B36" s="3" t="s">
        <v>31</v>
      </c>
    </row>
    <row r="37" customFormat="false" ht="15" hidden="false" customHeight="false" outlineLevel="0" collapsed="false">
      <c r="B37" s="3" t="s">
        <v>32</v>
      </c>
    </row>
    <row r="38" customFormat="false" ht="15" hidden="false" customHeight="false" outlineLevel="0" collapsed="false">
      <c r="B38" s="3" t="s">
        <v>33</v>
      </c>
    </row>
    <row r="39" customFormat="false" ht="15" hidden="false" customHeight="false" outlineLevel="0" collapsed="false">
      <c r="B39" s="3" t="s">
        <v>34</v>
      </c>
    </row>
    <row r="40" customFormat="false" ht="15" hidden="false" customHeight="false" outlineLevel="0" collapsed="false">
      <c r="B40" s="3" t="s">
        <v>35</v>
      </c>
    </row>
    <row r="41" customFormat="false" ht="15" hidden="false" customHeight="false" outlineLevel="0" collapsed="false">
      <c r="B41" s="3" t="s">
        <v>36</v>
      </c>
    </row>
    <row r="42" customFormat="false" ht="15" hidden="false" customHeight="false" outlineLevel="0" collapsed="false">
      <c r="B42" s="3" t="s">
        <v>37</v>
      </c>
    </row>
    <row r="43" customFormat="false" ht="15" hidden="false" customHeight="false" outlineLevel="0" collapsed="false">
      <c r="B43" s="3" t="s">
        <v>38</v>
      </c>
    </row>
    <row r="44" customFormat="false" ht="15" hidden="false" customHeight="false" outlineLevel="0" collapsed="false">
      <c r="B44" s="3"/>
    </row>
    <row r="45" customFormat="false" ht="15" hidden="false" customHeight="false" outlineLevel="0" collapsed="false">
      <c r="B45" s="4" t="s">
        <v>39</v>
      </c>
    </row>
    <row r="46" customFormat="false" ht="15" hidden="false" customHeight="false" outlineLevel="0" collapsed="false">
      <c r="B46" s="3" t="s">
        <v>40</v>
      </c>
    </row>
    <row r="47" customFormat="false" ht="15" hidden="false" customHeight="false" outlineLevel="0" collapsed="false">
      <c r="B47" s="3" t="s">
        <v>41</v>
      </c>
    </row>
    <row r="48" customFormat="false" ht="15" hidden="false" customHeight="false" outlineLevel="0" collapsed="false">
      <c r="B48" s="3" t="s">
        <v>42</v>
      </c>
    </row>
    <row r="49" customFormat="false" ht="15" hidden="false" customHeight="false" outlineLevel="0" collapsed="false">
      <c r="B49" s="3" t="s">
        <v>43</v>
      </c>
    </row>
    <row r="50" customFormat="false" ht="15" hidden="false" customHeight="false" outlineLevel="0" collapsed="false">
      <c r="B50" s="3" t="s">
        <v>44</v>
      </c>
    </row>
    <row r="51" customFormat="false" ht="15" hidden="false" customHeight="false" outlineLevel="0" collapsed="false">
      <c r="B51" s="3" t="s">
        <v>45</v>
      </c>
    </row>
    <row r="52" customFormat="false" ht="15" hidden="false" customHeight="false" outlineLevel="0" collapsed="false">
      <c r="B52" s="3" t="s">
        <v>46</v>
      </c>
    </row>
    <row r="53" customFormat="false" ht="15" hidden="false" customHeight="false" outlineLevel="0" collapsed="false">
      <c r="B53" s="3" t="s">
        <v>47</v>
      </c>
    </row>
    <row r="54" customFormat="false" ht="15" hidden="false" customHeight="false" outlineLevel="0" collapsed="false">
      <c r="B54" s="3" t="s">
        <v>48</v>
      </c>
    </row>
    <row r="55" customFormat="false" ht="15" hidden="false" customHeight="false" outlineLevel="0" collapsed="false">
      <c r="B55" s="3" t="s">
        <v>49</v>
      </c>
    </row>
    <row r="56" customFormat="false" ht="15" hidden="false" customHeight="false" outlineLevel="0" collapsed="false">
      <c r="B56" s="3" t="s">
        <v>50</v>
      </c>
    </row>
    <row r="57" customFormat="false" ht="15" hidden="false" customHeight="false" outlineLevel="0" collapsed="false">
      <c r="B57" s="3" t="s">
        <v>51</v>
      </c>
    </row>
    <row r="58" customFormat="false" ht="15" hidden="false" customHeight="false" outlineLevel="0" collapsed="false">
      <c r="B58" s="3" t="s">
        <v>52</v>
      </c>
    </row>
    <row r="59" customFormat="false" ht="15" hidden="false" customHeight="false" outlineLevel="0" collapsed="false">
      <c r="B59" s="3" t="s">
        <v>53</v>
      </c>
    </row>
    <row r="60" customFormat="false" ht="15" hidden="false" customHeight="false" outlineLevel="0" collapsed="false">
      <c r="B60" s="3" t="s">
        <v>54</v>
      </c>
    </row>
    <row r="61" customFormat="false" ht="15" hidden="false" customHeight="false" outlineLevel="0" collapsed="false">
      <c r="B61" s="3" t="s">
        <v>55</v>
      </c>
    </row>
    <row r="62" customFormat="false" ht="15" hidden="false" customHeight="false" outlineLevel="0" collapsed="false">
      <c r="B62" s="3" t="s">
        <v>56</v>
      </c>
    </row>
    <row r="63" customFormat="false" ht="15" hidden="false" customHeight="false" outlineLevel="0" collapsed="false">
      <c r="B63" s="3" t="s">
        <v>57</v>
      </c>
    </row>
    <row r="64" customFormat="false" ht="15" hidden="false" customHeight="false" outlineLevel="0" collapsed="false">
      <c r="B64" s="3" t="s">
        <v>58</v>
      </c>
    </row>
    <row r="65" customFormat="false" ht="15" hidden="false" customHeight="false" outlineLevel="0" collapsed="false">
      <c r="B65" s="3" t="s">
        <v>59</v>
      </c>
    </row>
    <row r="66" customFormat="false" ht="15" hidden="false" customHeight="false" outlineLevel="0" collapsed="false">
      <c r="B66" s="3" t="s">
        <v>60</v>
      </c>
    </row>
    <row r="67" customFormat="false" ht="15" hidden="false" customHeight="false" outlineLevel="0" collapsed="false">
      <c r="B67" s="3" t="s">
        <v>61</v>
      </c>
    </row>
    <row r="68" customFormat="false" ht="15" hidden="false" customHeight="false" outlineLevel="0" collapsed="false">
      <c r="B68" s="3" t="s">
        <v>62</v>
      </c>
    </row>
    <row r="69" customFormat="false" ht="15" hidden="false" customHeight="false" outlineLevel="0" collapsed="false">
      <c r="B69" s="3" t="s">
        <v>63</v>
      </c>
    </row>
    <row r="70" customFormat="false" ht="15" hidden="false" customHeight="false" outlineLevel="0" collapsed="false">
      <c r="B70" s="3" t="s">
        <v>64</v>
      </c>
    </row>
    <row r="71" customFormat="false" ht="15" hidden="false" customHeight="false" outlineLevel="0" collapsed="false">
      <c r="B71" s="3" t="s">
        <v>65</v>
      </c>
    </row>
    <row r="72" customFormat="false" ht="15" hidden="false" customHeight="false" outlineLevel="0" collapsed="false">
      <c r="B72" s="3" t="s">
        <v>66</v>
      </c>
    </row>
    <row r="73" customFormat="false" ht="15" hidden="false" customHeight="false" outlineLevel="0" collapsed="false">
      <c r="B73" s="3" t="s">
        <v>67</v>
      </c>
    </row>
    <row r="74" customFormat="false" ht="15" hidden="false" customHeight="false" outlineLevel="0" collapsed="false">
      <c r="B74" s="3" t="s">
        <v>68</v>
      </c>
    </row>
    <row r="75" customFormat="false" ht="15" hidden="false" customHeight="false" outlineLevel="0" collapsed="false">
      <c r="B75" s="3" t="s">
        <v>69</v>
      </c>
    </row>
    <row r="76" customFormat="false" ht="15" hidden="false" customHeight="false" outlineLevel="0" collapsed="false">
      <c r="B76" s="3" t="s">
        <v>70</v>
      </c>
    </row>
    <row r="77" customFormat="false" ht="15" hidden="false" customHeight="false" outlineLevel="0" collapsed="false">
      <c r="B77" s="3" t="s">
        <v>71</v>
      </c>
    </row>
    <row r="78" customFormat="false" ht="15" hidden="false" customHeight="false" outlineLevel="0" collapsed="false">
      <c r="B78" s="3"/>
    </row>
    <row r="79" customFormat="false" ht="15" hidden="false" customHeight="false" outlineLevel="0" collapsed="false">
      <c r="B79" s="4" t="s">
        <v>72</v>
      </c>
    </row>
    <row r="80" customFormat="false" ht="15" hidden="false" customHeight="false" outlineLevel="0" collapsed="false">
      <c r="B80" s="3" t="s">
        <v>73</v>
      </c>
    </row>
    <row r="81" customFormat="false" ht="15" hidden="false" customHeight="false" outlineLevel="0" collapsed="false">
      <c r="B81" s="3" t="s">
        <v>74</v>
      </c>
    </row>
    <row r="82" customFormat="false" ht="15" hidden="false" customHeight="false" outlineLevel="0" collapsed="false">
      <c r="B82" s="3" t="s">
        <v>75</v>
      </c>
    </row>
    <row r="83" customFormat="false" ht="15" hidden="false" customHeight="false" outlineLevel="0" collapsed="false">
      <c r="B83" s="3" t="s">
        <v>76</v>
      </c>
    </row>
    <row r="84" customFormat="false" ht="15" hidden="false" customHeight="false" outlineLevel="0" collapsed="false">
      <c r="B84" s="3" t="s">
        <v>77</v>
      </c>
    </row>
    <row r="85" customFormat="false" ht="15" hidden="false" customHeight="false" outlineLevel="0" collapsed="false">
      <c r="B85" s="3" t="s">
        <v>78</v>
      </c>
    </row>
    <row r="86" customFormat="false" ht="15" hidden="false" customHeight="false" outlineLevel="0" collapsed="false">
      <c r="B86" s="3" t="s">
        <v>79</v>
      </c>
    </row>
    <row r="87" customFormat="false" ht="15" hidden="false" customHeight="false" outlineLevel="0" collapsed="false">
      <c r="B87" s="3" t="s">
        <v>80</v>
      </c>
    </row>
    <row r="88" customFormat="false" ht="15" hidden="false" customHeight="false" outlineLevel="0" collapsed="false">
      <c r="B88" s="3" t="s">
        <v>81</v>
      </c>
    </row>
    <row r="89" customFormat="false" ht="15" hidden="false" customHeight="false" outlineLevel="0" collapsed="false">
      <c r="B89" s="3" t="s">
        <v>82</v>
      </c>
    </row>
    <row r="90" customFormat="false" ht="15" hidden="false" customHeight="false" outlineLevel="0" collapsed="false">
      <c r="B90" s="3"/>
    </row>
    <row r="91" customFormat="false" ht="15" hidden="false" customHeight="false" outlineLevel="0" collapsed="false">
      <c r="B91" s="2" t="s">
        <v>83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104"/>
    <col collapsed="false" customWidth="true" hidden="false" outlineLevel="0" max="4" min="4" style="0" width="44"/>
  </cols>
  <sheetData>
    <row r="1" customFormat="false" ht="17.35" hidden="false" customHeight="false" outlineLevel="0" collapsed="false">
      <c r="B1" s="1" t="s">
        <v>84</v>
      </c>
    </row>
    <row r="2" customFormat="false" ht="15" hidden="false" customHeight="false" outlineLevel="0" collapsed="false">
      <c r="B2" s="2" t="s">
        <v>85</v>
      </c>
    </row>
    <row r="4" customFormat="false" ht="15" hidden="false" customHeight="false" outlineLevel="0" collapsed="false">
      <c r="B4" s="5" t="s">
        <v>86</v>
      </c>
      <c r="C4" s="6"/>
      <c r="D4" s="6"/>
    </row>
    <row r="5" customFormat="false" ht="117" hidden="false" customHeight="true" outlineLevel="0" collapsed="false">
      <c r="B5" s="7" t="s">
        <v>87</v>
      </c>
      <c r="C5" s="8" t="s">
        <v>88</v>
      </c>
      <c r="D5" s="9" t="s">
        <v>89</v>
      </c>
    </row>
    <row r="6" customFormat="false" ht="117" hidden="false" customHeight="true" outlineLevel="0" collapsed="false">
      <c r="B6" s="7" t="s">
        <v>90</v>
      </c>
      <c r="C6" s="8" t="s">
        <v>91</v>
      </c>
      <c r="D6" s="9" t="s">
        <v>92</v>
      </c>
    </row>
    <row r="7" customFormat="false" ht="39" hidden="false" customHeight="true" outlineLevel="0" collapsed="false">
      <c r="B7" s="7" t="s">
        <v>93</v>
      </c>
      <c r="C7" s="8" t="s">
        <v>94</v>
      </c>
      <c r="D7" s="9" t="s">
        <v>95</v>
      </c>
    </row>
    <row r="8" customFormat="false" ht="15" hidden="false" customHeight="false" outlineLevel="0" collapsed="false">
      <c r="B8" s="5" t="s">
        <v>96</v>
      </c>
      <c r="C8" s="6"/>
      <c r="D8" s="6"/>
    </row>
    <row r="9" customFormat="false" ht="27.75" hidden="false" customHeight="true" outlineLevel="0" collapsed="false">
      <c r="B9" s="7" t="s">
        <v>97</v>
      </c>
      <c r="C9" s="8" t="s">
        <v>98</v>
      </c>
      <c r="D9" s="9" t="s">
        <v>99</v>
      </c>
    </row>
    <row r="10" customFormat="false" ht="27.75" hidden="false" customHeight="true" outlineLevel="0" collapsed="false">
      <c r="B10" s="7" t="s">
        <v>100</v>
      </c>
      <c r="C10" s="8" t="s">
        <v>101</v>
      </c>
      <c r="D10" s="9"/>
    </row>
    <row r="11" customFormat="false" ht="39" hidden="false" customHeight="true" outlineLevel="0" collapsed="false">
      <c r="B11" s="7" t="s">
        <v>102</v>
      </c>
      <c r="C11" s="8" t="s">
        <v>103</v>
      </c>
      <c r="D11" s="9" t="s">
        <v>104</v>
      </c>
    </row>
    <row r="12" customFormat="false" ht="27.75" hidden="false" customHeight="true" outlineLevel="0" collapsed="false">
      <c r="B12" s="7" t="s">
        <v>105</v>
      </c>
      <c r="C12" s="8" t="s">
        <v>106</v>
      </c>
      <c r="D12" s="9" t="s">
        <v>107</v>
      </c>
    </row>
    <row r="13" customFormat="false" ht="39" hidden="false" customHeight="true" outlineLevel="0" collapsed="false">
      <c r="B13" s="7" t="s">
        <v>108</v>
      </c>
      <c r="C13" s="8" t="s">
        <v>109</v>
      </c>
      <c r="D13" s="9" t="s">
        <v>110</v>
      </c>
    </row>
    <row r="14" customFormat="false" ht="39" hidden="false" customHeight="true" outlineLevel="0" collapsed="false">
      <c r="B14" s="7" t="s">
        <v>111</v>
      </c>
      <c r="C14" s="8" t="s">
        <v>112</v>
      </c>
      <c r="D14" s="9" t="s">
        <v>113</v>
      </c>
    </row>
    <row r="15" customFormat="false" ht="39" hidden="false" customHeight="true" outlineLevel="0" collapsed="false">
      <c r="B15" s="7" t="s">
        <v>114</v>
      </c>
      <c r="C15" s="8" t="s">
        <v>115</v>
      </c>
      <c r="D15" s="9" t="s">
        <v>116</v>
      </c>
    </row>
    <row r="16" customFormat="false" ht="15" hidden="false" customHeight="false" outlineLevel="0" collapsed="false">
      <c r="B16" s="5" t="s">
        <v>117</v>
      </c>
      <c r="C16" s="6"/>
      <c r="D16" s="6"/>
    </row>
    <row r="17" customFormat="false" ht="39" hidden="false" customHeight="true" outlineLevel="0" collapsed="false">
      <c r="B17" s="7" t="s">
        <v>118</v>
      </c>
      <c r="C17" s="8" t="s">
        <v>119</v>
      </c>
      <c r="D17" s="9" t="s">
        <v>120</v>
      </c>
    </row>
    <row r="18" customFormat="false" ht="27.75" hidden="false" customHeight="true" outlineLevel="0" collapsed="false">
      <c r="B18" s="7" t="s">
        <v>121</v>
      </c>
      <c r="C18" s="8" t="s">
        <v>122</v>
      </c>
      <c r="D18" s="9" t="s">
        <v>123</v>
      </c>
    </row>
    <row r="19" customFormat="false" ht="51.75" hidden="false" customHeight="true" outlineLevel="0" collapsed="false">
      <c r="B19" s="7" t="s">
        <v>124</v>
      </c>
      <c r="C19" s="8" t="s">
        <v>125</v>
      </c>
      <c r="D19" s="9" t="s">
        <v>126</v>
      </c>
    </row>
    <row r="20" customFormat="false" ht="39" hidden="false" customHeight="true" outlineLevel="0" collapsed="false">
      <c r="B20" s="7" t="s">
        <v>127</v>
      </c>
      <c r="C20" s="8" t="s">
        <v>128</v>
      </c>
      <c r="D20" s="9" t="s">
        <v>129</v>
      </c>
    </row>
    <row r="21" customFormat="false" ht="39" hidden="false" customHeight="true" outlineLevel="0" collapsed="false">
      <c r="B21" s="7" t="s">
        <v>130</v>
      </c>
      <c r="C21" s="8" t="s">
        <v>131</v>
      </c>
      <c r="D21" s="9" t="s">
        <v>132</v>
      </c>
    </row>
    <row r="22" customFormat="false" ht="27.75" hidden="false" customHeight="true" outlineLevel="0" collapsed="false">
      <c r="B22" s="7" t="s">
        <v>133</v>
      </c>
      <c r="C22" s="8" t="s">
        <v>134</v>
      </c>
      <c r="D22" s="9" t="s">
        <v>135</v>
      </c>
    </row>
    <row r="23" customFormat="false" ht="15" hidden="false" customHeight="false" outlineLevel="0" collapsed="false">
      <c r="B23" s="5" t="s">
        <v>136</v>
      </c>
      <c r="C23" s="6"/>
      <c r="D23" s="6"/>
    </row>
    <row r="24" customFormat="false" ht="27.75" hidden="false" customHeight="true" outlineLevel="0" collapsed="false">
      <c r="B24" s="7" t="s">
        <v>137</v>
      </c>
      <c r="C24" s="8" t="s">
        <v>138</v>
      </c>
      <c r="D24" s="9" t="s">
        <v>139</v>
      </c>
    </row>
    <row r="25" customFormat="false" ht="27.75" hidden="false" customHeight="true" outlineLevel="0" collapsed="false">
      <c r="B25" s="7" t="s">
        <v>140</v>
      </c>
      <c r="C25" s="8" t="s">
        <v>141</v>
      </c>
      <c r="D25" s="9" t="s">
        <v>142</v>
      </c>
    </row>
    <row r="26" customFormat="false" ht="39" hidden="false" customHeight="true" outlineLevel="0" collapsed="false">
      <c r="B26" s="7" t="s">
        <v>143</v>
      </c>
      <c r="C26" s="8" t="s">
        <v>144</v>
      </c>
      <c r="D26" s="9" t="s">
        <v>145</v>
      </c>
    </row>
    <row r="27" customFormat="false" ht="27.75" hidden="false" customHeight="true" outlineLevel="0" collapsed="false">
      <c r="B27" s="7" t="s">
        <v>146</v>
      </c>
      <c r="C27" s="8" t="s">
        <v>147</v>
      </c>
      <c r="D27" s="9" t="s">
        <v>148</v>
      </c>
    </row>
    <row r="28" customFormat="false" ht="27.75" hidden="false" customHeight="true" outlineLevel="0" collapsed="false">
      <c r="B28" s="7" t="s">
        <v>149</v>
      </c>
      <c r="C28" s="8" t="s">
        <v>150</v>
      </c>
      <c r="D28" s="9" t="s">
        <v>151</v>
      </c>
    </row>
    <row r="29" customFormat="false" ht="51.75" hidden="false" customHeight="true" outlineLevel="0" collapsed="false">
      <c r="B29" s="7" t="s">
        <v>152</v>
      </c>
      <c r="C29" s="8" t="s">
        <v>153</v>
      </c>
      <c r="D29" s="9" t="s">
        <v>154</v>
      </c>
    </row>
    <row r="30" customFormat="false" ht="15" hidden="false" customHeight="false" outlineLevel="0" collapsed="false">
      <c r="B30" s="5" t="s">
        <v>155</v>
      </c>
      <c r="C30" s="6"/>
      <c r="D30" s="6"/>
    </row>
    <row r="31" customFormat="false" ht="39" hidden="false" customHeight="true" outlineLevel="0" collapsed="false">
      <c r="B31" s="7" t="s">
        <v>156</v>
      </c>
      <c r="C31" s="8" t="s">
        <v>157</v>
      </c>
      <c r="D31" s="9" t="s">
        <v>158</v>
      </c>
    </row>
    <row r="32" customFormat="false" ht="27.75" hidden="false" customHeight="true" outlineLevel="0" collapsed="false">
      <c r="B32" s="7" t="s">
        <v>159</v>
      </c>
      <c r="C32" s="8" t="s">
        <v>160</v>
      </c>
      <c r="D32" s="9" t="s">
        <v>161</v>
      </c>
    </row>
    <row r="33" customFormat="false" ht="64.5" hidden="false" customHeight="true" outlineLevel="0" collapsed="false">
      <c r="B33" s="7" t="s">
        <v>162</v>
      </c>
      <c r="C33" s="8" t="s">
        <v>163</v>
      </c>
      <c r="D33" s="9" t="s">
        <v>164</v>
      </c>
    </row>
    <row r="34" customFormat="false" ht="27.75" hidden="false" customHeight="true" outlineLevel="0" collapsed="false">
      <c r="B34" s="7" t="s">
        <v>165</v>
      </c>
      <c r="C34" s="8" t="s">
        <v>166</v>
      </c>
      <c r="D34" s="9" t="s">
        <v>167</v>
      </c>
    </row>
    <row r="35" customFormat="false" ht="15" hidden="false" customHeight="false" outlineLevel="0" collapsed="false">
      <c r="B35" s="5" t="s">
        <v>168</v>
      </c>
      <c r="C35" s="6"/>
      <c r="D35" s="6"/>
    </row>
    <row r="36" customFormat="false" ht="64.5" hidden="false" customHeight="true" outlineLevel="0" collapsed="false">
      <c r="B36" s="7" t="s">
        <v>169</v>
      </c>
      <c r="C36" s="8" t="s">
        <v>170</v>
      </c>
      <c r="D36" s="9" t="s">
        <v>171</v>
      </c>
    </row>
    <row r="37" customFormat="false" ht="27.75" hidden="false" customHeight="true" outlineLevel="0" collapsed="false">
      <c r="B37" s="7" t="s">
        <v>172</v>
      </c>
      <c r="C37" s="8" t="s">
        <v>173</v>
      </c>
      <c r="D37" s="9" t="s">
        <v>174</v>
      </c>
    </row>
    <row r="38" customFormat="false" ht="51.75" hidden="false" customHeight="true" outlineLevel="0" collapsed="false">
      <c r="B38" s="7" t="s">
        <v>175</v>
      </c>
      <c r="C38" s="8" t="s">
        <v>176</v>
      </c>
      <c r="D38" s="9" t="s">
        <v>177</v>
      </c>
    </row>
    <row r="39" customFormat="false" ht="27.75" hidden="false" customHeight="true" outlineLevel="0" collapsed="false">
      <c r="B39" s="7" t="s">
        <v>178</v>
      </c>
      <c r="C39" s="8" t="s">
        <v>179</v>
      </c>
      <c r="D39" s="9" t="s">
        <v>180</v>
      </c>
    </row>
    <row r="40" customFormat="false" ht="15" hidden="false" customHeight="false" outlineLevel="0" collapsed="false">
      <c r="B40" s="5" t="s">
        <v>181</v>
      </c>
      <c r="C40" s="6"/>
      <c r="D40" s="6"/>
    </row>
    <row r="41" customFormat="false" ht="27.75" hidden="false" customHeight="true" outlineLevel="0" collapsed="false">
      <c r="B41" s="7" t="s">
        <v>182</v>
      </c>
      <c r="C41" s="8" t="s">
        <v>183</v>
      </c>
      <c r="D41" s="9"/>
    </row>
    <row r="42" customFormat="false" ht="27.75" hidden="false" customHeight="true" outlineLevel="0" collapsed="false">
      <c r="B42" s="7" t="s">
        <v>184</v>
      </c>
      <c r="C42" s="8" t="s">
        <v>185</v>
      </c>
      <c r="D42" s="9" t="s">
        <v>186</v>
      </c>
    </row>
    <row r="43" customFormat="false" ht="39" hidden="false" customHeight="true" outlineLevel="0" collapsed="false">
      <c r="B43" s="7" t="s">
        <v>187</v>
      </c>
      <c r="C43" s="8" t="s">
        <v>188</v>
      </c>
      <c r="D43" s="9" t="s">
        <v>189</v>
      </c>
    </row>
    <row r="44" customFormat="false" ht="27.75" hidden="false" customHeight="true" outlineLevel="0" collapsed="false">
      <c r="B44" s="7" t="s">
        <v>190</v>
      </c>
      <c r="C44" s="8" t="s">
        <v>191</v>
      </c>
      <c r="D44" s="9" t="s">
        <v>110</v>
      </c>
    </row>
    <row r="45" customFormat="false" ht="39" hidden="false" customHeight="true" outlineLevel="0" collapsed="false">
      <c r="B45" s="7" t="s">
        <v>192</v>
      </c>
      <c r="C45" s="8" t="s">
        <v>193</v>
      </c>
      <c r="D45" s="9" t="s">
        <v>110</v>
      </c>
    </row>
    <row r="46" customFormat="false" ht="39" hidden="false" customHeight="true" outlineLevel="0" collapsed="false">
      <c r="B46" s="7" t="s">
        <v>194</v>
      </c>
      <c r="C46" s="8" t="s">
        <v>195</v>
      </c>
      <c r="D46" s="9" t="s">
        <v>196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E6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3" min="3" style="0" width="14"/>
    <col collapsed="false" customWidth="true" hidden="false" outlineLevel="0" max="4" min="4" style="0" width="10"/>
    <col collapsed="false" customWidth="true" hidden="false" outlineLevel="0" max="5" min="5" style="0" width="78"/>
  </cols>
  <sheetData>
    <row r="1" customFormat="false" ht="17.35" hidden="false" customHeight="false" outlineLevel="0" collapsed="false">
      <c r="B1" s="1" t="s">
        <v>197</v>
      </c>
    </row>
    <row r="2" customFormat="false" ht="15" hidden="false" customHeight="false" outlineLevel="0" collapsed="false">
      <c r="B2" s="10" t="s">
        <v>198</v>
      </c>
    </row>
    <row r="4" customFormat="false" ht="15" hidden="false" customHeight="false" outlineLevel="0" collapsed="false">
      <c r="B4" s="5" t="s">
        <v>199</v>
      </c>
      <c r="C4" s="6"/>
      <c r="D4" s="6"/>
    </row>
    <row r="5" customFormat="false" ht="15" hidden="false" customHeight="false" outlineLevel="0" collapsed="false">
      <c r="B5" s="3" t="s">
        <v>200</v>
      </c>
      <c r="C5" s="11" t="n">
        <v>40</v>
      </c>
      <c r="D5" s="12" t="s">
        <v>201</v>
      </c>
      <c r="E5" s="13" t="s">
        <v>202</v>
      </c>
    </row>
    <row r="6" customFormat="false" ht="15" hidden="false" customHeight="false" outlineLevel="0" collapsed="false">
      <c r="B6" s="3" t="s">
        <v>203</v>
      </c>
      <c r="C6" s="11" t="n">
        <v>67</v>
      </c>
      <c r="D6" s="12" t="s">
        <v>201</v>
      </c>
      <c r="E6" s="13" t="s">
        <v>204</v>
      </c>
    </row>
    <row r="7" customFormat="false" ht="15" hidden="false" customHeight="false" outlineLevel="0" collapsed="false">
      <c r="B7" s="3" t="s">
        <v>205</v>
      </c>
      <c r="C7" s="11" t="n">
        <v>85</v>
      </c>
      <c r="D7" s="12" t="s">
        <v>201</v>
      </c>
      <c r="E7" s="13" t="s">
        <v>206</v>
      </c>
    </row>
    <row r="8" customFormat="false" ht="15" hidden="false" customHeight="false" outlineLevel="0" collapsed="false">
      <c r="B8" s="3" t="s">
        <v>207</v>
      </c>
      <c r="C8" s="11" t="n">
        <v>63</v>
      </c>
      <c r="D8" s="12" t="s">
        <v>201</v>
      </c>
      <c r="E8" s="13" t="s">
        <v>208</v>
      </c>
    </row>
    <row r="9" customFormat="false" ht="15" hidden="false" customHeight="false" outlineLevel="0" collapsed="false">
      <c r="B9" s="3" t="s">
        <v>209</v>
      </c>
      <c r="C9" s="11" t="n">
        <v>55</v>
      </c>
      <c r="D9" s="12" t="s">
        <v>201</v>
      </c>
      <c r="E9" s="13" t="s">
        <v>210</v>
      </c>
    </row>
    <row r="10" customFormat="false" ht="15" hidden="false" customHeight="false" outlineLevel="0" collapsed="false">
      <c r="B10" s="3" t="s">
        <v>211</v>
      </c>
      <c r="C10" s="14" t="n">
        <v>0.6</v>
      </c>
      <c r="D10" s="12"/>
      <c r="E10" s="13" t="s">
        <v>212</v>
      </c>
    </row>
    <row r="11" customFormat="false" ht="15" hidden="false" customHeight="false" outlineLevel="0" collapsed="false">
      <c r="B11" s="5" t="s">
        <v>213</v>
      </c>
      <c r="C11" s="6"/>
      <c r="D11" s="6"/>
    </row>
    <row r="12" customFormat="false" ht="15" hidden="false" customHeight="false" outlineLevel="0" collapsed="false">
      <c r="B12" s="3" t="s">
        <v>214</v>
      </c>
      <c r="C12" s="15" t="n">
        <v>75000</v>
      </c>
      <c r="D12" s="12" t="s">
        <v>215</v>
      </c>
      <c r="E12" s="13" t="s">
        <v>216</v>
      </c>
    </row>
    <row r="13" customFormat="false" ht="15" hidden="false" customHeight="false" outlineLevel="0" collapsed="false">
      <c r="B13" s="3" t="s">
        <v>217</v>
      </c>
      <c r="C13" s="16" t="n">
        <v>0.025</v>
      </c>
      <c r="D13" s="12"/>
      <c r="E13" s="13" t="s">
        <v>218</v>
      </c>
    </row>
    <row r="14" customFormat="false" ht="15" hidden="false" customHeight="false" outlineLevel="0" collapsed="false">
      <c r="B14" s="3" t="s">
        <v>219</v>
      </c>
      <c r="C14" s="11" t="n">
        <v>1</v>
      </c>
      <c r="D14" s="12" t="s">
        <v>220</v>
      </c>
      <c r="E14" s="13" t="s">
        <v>221</v>
      </c>
    </row>
    <row r="15" customFormat="false" ht="15" hidden="false" customHeight="false" outlineLevel="0" collapsed="false">
      <c r="B15" s="3" t="s">
        <v>222</v>
      </c>
      <c r="C15" s="11" t="n">
        <v>0</v>
      </c>
      <c r="D15" s="12" t="s">
        <v>215</v>
      </c>
      <c r="E15" s="13" t="s">
        <v>223</v>
      </c>
    </row>
    <row r="16" customFormat="false" ht="15" hidden="false" customHeight="false" outlineLevel="0" collapsed="false">
      <c r="B16" s="3" t="s">
        <v>224</v>
      </c>
      <c r="C16" s="16" t="n">
        <v>0</v>
      </c>
      <c r="D16" s="12"/>
      <c r="E16" s="13" t="s">
        <v>225</v>
      </c>
    </row>
    <row r="17" customFormat="false" ht="15" hidden="false" customHeight="false" outlineLevel="0" collapsed="false">
      <c r="B17" s="3" t="s">
        <v>226</v>
      </c>
      <c r="C17" s="16" t="n">
        <v>0.02</v>
      </c>
      <c r="D17" s="12"/>
      <c r="E17" s="13" t="s">
        <v>227</v>
      </c>
    </row>
    <row r="18" customFormat="false" ht="15" hidden="false" customHeight="false" outlineLevel="0" collapsed="false">
      <c r="B18" s="3" t="s">
        <v>228</v>
      </c>
      <c r="C18" s="11" t="n">
        <v>0</v>
      </c>
      <c r="D18" s="12"/>
      <c r="E18" s="13" t="s">
        <v>229</v>
      </c>
    </row>
    <row r="19" customFormat="false" ht="15" hidden="false" customHeight="false" outlineLevel="0" collapsed="false">
      <c r="B19" s="3" t="s">
        <v>230</v>
      </c>
      <c r="C19" s="11" t="n">
        <v>18</v>
      </c>
      <c r="D19" s="12" t="s">
        <v>201</v>
      </c>
      <c r="E19" s="13" t="s">
        <v>231</v>
      </c>
    </row>
    <row r="20" customFormat="false" ht="15" hidden="false" customHeight="false" outlineLevel="0" collapsed="false">
      <c r="B20" s="3" t="s">
        <v>232</v>
      </c>
      <c r="C20" s="11" t="n">
        <v>0</v>
      </c>
      <c r="D20" s="12" t="s">
        <v>233</v>
      </c>
      <c r="E20" s="13" t="s">
        <v>234</v>
      </c>
    </row>
    <row r="21" customFormat="false" ht="15" hidden="false" customHeight="false" outlineLevel="0" collapsed="false">
      <c r="B21" s="5" t="s">
        <v>235</v>
      </c>
      <c r="C21" s="6"/>
      <c r="D21" s="6"/>
    </row>
    <row r="22" customFormat="false" ht="15" hidden="false" customHeight="false" outlineLevel="0" collapsed="false">
      <c r="B22" s="3" t="s">
        <v>236</v>
      </c>
      <c r="C22" s="11" t="n">
        <v>1</v>
      </c>
      <c r="D22" s="12" t="s">
        <v>237</v>
      </c>
      <c r="E22" s="13" t="s">
        <v>238</v>
      </c>
    </row>
    <row r="23" customFormat="false" ht="15" hidden="false" customHeight="false" outlineLevel="0" collapsed="false">
      <c r="B23" s="3" t="s">
        <v>239</v>
      </c>
      <c r="C23" s="11" t="n">
        <v>300</v>
      </c>
      <c r="D23" s="12" t="s">
        <v>215</v>
      </c>
      <c r="E23" s="13" t="s">
        <v>240</v>
      </c>
    </row>
    <row r="24" customFormat="false" ht="15" hidden="false" customHeight="false" outlineLevel="0" collapsed="false">
      <c r="B24" s="3" t="s">
        <v>241</v>
      </c>
      <c r="C24" s="11" t="n">
        <v>165</v>
      </c>
      <c r="D24" s="12" t="s">
        <v>215</v>
      </c>
      <c r="E24" s="13" t="s">
        <v>242</v>
      </c>
    </row>
    <row r="25" customFormat="false" ht="15" hidden="false" customHeight="false" outlineLevel="0" collapsed="false">
      <c r="B25" s="3" t="s">
        <v>243</v>
      </c>
      <c r="C25" s="11" t="n">
        <v>1</v>
      </c>
      <c r="D25" s="12" t="s">
        <v>233</v>
      </c>
      <c r="E25" s="13" t="s">
        <v>244</v>
      </c>
    </row>
    <row r="26" customFormat="false" ht="15" hidden="false" customHeight="false" outlineLevel="0" collapsed="false">
      <c r="B26" s="3" t="s">
        <v>245</v>
      </c>
      <c r="C26" s="16" t="n">
        <v>0.15</v>
      </c>
      <c r="D26" s="12"/>
      <c r="E26" s="13" t="s">
        <v>246</v>
      </c>
    </row>
    <row r="27" customFormat="false" ht="15" hidden="false" customHeight="false" outlineLevel="0" collapsed="false">
      <c r="B27" s="3" t="s">
        <v>247</v>
      </c>
      <c r="C27" s="11" t="n">
        <v>2</v>
      </c>
      <c r="D27" s="12" t="s">
        <v>248</v>
      </c>
      <c r="E27" s="13" t="s">
        <v>249</v>
      </c>
    </row>
    <row r="28" customFormat="false" ht="15" hidden="false" customHeight="false" outlineLevel="0" collapsed="false">
      <c r="B28" s="3" t="s">
        <v>250</v>
      </c>
      <c r="C28" s="11" t="n">
        <v>1</v>
      </c>
      <c r="D28" s="12" t="s">
        <v>237</v>
      </c>
      <c r="E28" s="13" t="s">
        <v>251</v>
      </c>
    </row>
    <row r="29" customFormat="false" ht="15" hidden="false" customHeight="false" outlineLevel="0" collapsed="false">
      <c r="B29" s="3" t="s">
        <v>252</v>
      </c>
      <c r="C29" s="11" t="n">
        <v>26</v>
      </c>
      <c r="D29" s="12" t="s">
        <v>215</v>
      </c>
      <c r="E29" s="13" t="s">
        <v>253</v>
      </c>
    </row>
    <row r="30" customFormat="false" ht="15" hidden="false" customHeight="false" outlineLevel="0" collapsed="false">
      <c r="B30" s="3" t="s">
        <v>254</v>
      </c>
      <c r="C30" s="16" t="n">
        <v>0.01</v>
      </c>
      <c r="D30" s="12"/>
      <c r="E30" s="13" t="s">
        <v>255</v>
      </c>
    </row>
    <row r="31" customFormat="false" ht="15" hidden="false" customHeight="false" outlineLevel="0" collapsed="false">
      <c r="B31" s="3" t="s">
        <v>256</v>
      </c>
      <c r="C31" s="11" t="n">
        <v>0</v>
      </c>
      <c r="D31" s="12" t="s">
        <v>233</v>
      </c>
      <c r="E31" s="13" t="s">
        <v>257</v>
      </c>
    </row>
    <row r="32" customFormat="false" ht="15" hidden="false" customHeight="false" outlineLevel="0" collapsed="false">
      <c r="B32" s="5" t="s">
        <v>258</v>
      </c>
      <c r="C32" s="6"/>
      <c r="D32" s="6"/>
    </row>
    <row r="33" customFormat="false" ht="15" hidden="false" customHeight="false" outlineLevel="0" collapsed="false">
      <c r="B33" s="3" t="s">
        <v>259</v>
      </c>
      <c r="C33" s="16" t="n">
        <v>0.07</v>
      </c>
      <c r="D33" s="12"/>
      <c r="E33" s="13" t="s">
        <v>260</v>
      </c>
    </row>
    <row r="34" customFormat="false" ht="15" hidden="false" customHeight="false" outlineLevel="0" collapsed="false">
      <c r="B34" s="3" t="s">
        <v>261</v>
      </c>
      <c r="C34" s="16" t="n">
        <v>0.006</v>
      </c>
      <c r="D34" s="12"/>
      <c r="E34" s="13" t="s">
        <v>262</v>
      </c>
    </row>
    <row r="35" customFormat="false" ht="15" hidden="false" customHeight="false" outlineLevel="0" collapsed="false">
      <c r="B35" s="3" t="s">
        <v>263</v>
      </c>
      <c r="C35" s="16" t="n">
        <v>0.005</v>
      </c>
      <c r="D35" s="12"/>
      <c r="E35" s="13" t="s">
        <v>264</v>
      </c>
    </row>
    <row r="36" customFormat="false" ht="15" hidden="false" customHeight="false" outlineLevel="0" collapsed="false">
      <c r="B36" s="3" t="s">
        <v>265</v>
      </c>
      <c r="C36" s="16" t="n">
        <v>0.002</v>
      </c>
      <c r="D36" s="12"/>
      <c r="E36" s="13" t="s">
        <v>266</v>
      </c>
    </row>
    <row r="37" customFormat="false" ht="15" hidden="false" customHeight="false" outlineLevel="0" collapsed="false">
      <c r="B37" s="3" t="s">
        <v>267</v>
      </c>
      <c r="C37" s="16" t="n">
        <v>0.02</v>
      </c>
      <c r="D37" s="12"/>
      <c r="E37" s="13" t="s">
        <v>268</v>
      </c>
    </row>
    <row r="38" customFormat="false" ht="15" hidden="false" customHeight="false" outlineLevel="0" collapsed="false">
      <c r="B38" s="5" t="s">
        <v>269</v>
      </c>
      <c r="C38" s="6"/>
      <c r="D38" s="6"/>
    </row>
    <row r="39" customFormat="false" ht="15" hidden="false" customHeight="false" outlineLevel="0" collapsed="false">
      <c r="B39" s="3" t="s">
        <v>270</v>
      </c>
      <c r="C39" s="11" t="n">
        <v>1</v>
      </c>
      <c r="D39" s="12" t="s">
        <v>237</v>
      </c>
      <c r="E39" s="13" t="s">
        <v>271</v>
      </c>
    </row>
    <row r="40" customFormat="false" ht="15" hidden="false" customHeight="false" outlineLevel="0" collapsed="false">
      <c r="B40" s="3" t="s">
        <v>272</v>
      </c>
      <c r="C40" s="15" t="n">
        <v>22000</v>
      </c>
      <c r="D40" s="12" t="s">
        <v>215</v>
      </c>
      <c r="E40" s="13" t="s">
        <v>273</v>
      </c>
    </row>
    <row r="41" customFormat="false" ht="15" hidden="false" customHeight="false" outlineLevel="0" collapsed="false">
      <c r="B41" s="3" t="s">
        <v>274</v>
      </c>
      <c r="C41" s="15" t="n">
        <v>24000</v>
      </c>
      <c r="D41" s="12" t="s">
        <v>215</v>
      </c>
      <c r="E41" s="13" t="s">
        <v>275</v>
      </c>
    </row>
    <row r="42" customFormat="false" ht="15" hidden="false" customHeight="false" outlineLevel="0" collapsed="false">
      <c r="B42" s="3" t="s">
        <v>276</v>
      </c>
      <c r="C42" s="16" t="n">
        <v>0</v>
      </c>
      <c r="D42" s="12"/>
      <c r="E42" s="13" t="s">
        <v>277</v>
      </c>
    </row>
    <row r="44" customFormat="false" ht="15" hidden="false" customHeight="false" outlineLevel="0" collapsed="false">
      <c r="B44" s="5" t="s">
        <v>278</v>
      </c>
      <c r="C44" s="6"/>
    </row>
    <row r="45" customFormat="false" ht="15" hidden="false" customHeight="false" outlineLevel="0" collapsed="false">
      <c r="B45" s="4" t="s">
        <v>279</v>
      </c>
      <c r="E45" s="13" t="s">
        <v>280</v>
      </c>
    </row>
    <row r="46" customFormat="false" ht="15" hidden="false" customHeight="false" outlineLevel="0" collapsed="false">
      <c r="B46" s="3" t="s">
        <v>281</v>
      </c>
      <c r="C46" s="17" t="n">
        <f aca="false">Vergleich!$B$13</f>
        <v>75230.7505277908</v>
      </c>
    </row>
    <row r="47" customFormat="false" ht="15" hidden="false" customHeight="false" outlineLevel="0" collapsed="false">
      <c r="B47" s="3" t="s">
        <v>282</v>
      </c>
      <c r="C47" s="17" t="n">
        <f aca="false">Vergleich!$C$13</f>
        <v>135907.77858974</v>
      </c>
    </row>
    <row r="48" customFormat="false" ht="15" hidden="false" customHeight="false" outlineLevel="0" collapsed="false">
      <c r="B48" s="3" t="s">
        <v>283</v>
      </c>
      <c r="C48" s="17" t="n">
        <f aca="false">Vergleich!$D$13</f>
        <v>121233.966623963</v>
      </c>
    </row>
    <row r="50" customFormat="false" ht="15" hidden="false" customHeight="false" outlineLevel="0" collapsed="false">
      <c r="B50" s="4" t="s">
        <v>284</v>
      </c>
      <c r="E50" s="13" t="s">
        <v>285</v>
      </c>
    </row>
    <row r="51" customFormat="false" ht="15" hidden="false" customHeight="false" outlineLevel="0" collapsed="false">
      <c r="B51" s="3" t="s">
        <v>281</v>
      </c>
      <c r="C51" s="17" t="n">
        <f aca="false">Vergleich!$B$15</f>
        <v>27736.6288798114</v>
      </c>
    </row>
    <row r="52" customFormat="false" ht="15" hidden="false" customHeight="false" outlineLevel="0" collapsed="false">
      <c r="B52" s="3" t="s">
        <v>282</v>
      </c>
      <c r="C52" s="17" t="n">
        <f aca="false">Vergleich!$C$15</f>
        <v>88413.6569417605</v>
      </c>
    </row>
    <row r="53" customFormat="false" ht="15" hidden="false" customHeight="false" outlineLevel="0" collapsed="false">
      <c r="B53" s="3" t="s">
        <v>283</v>
      </c>
      <c r="C53" s="17" t="n">
        <f aca="false">Vergleich!$D$15</f>
        <v>73739.8449759836</v>
      </c>
    </row>
    <row r="55" customFormat="false" ht="15" hidden="false" customHeight="false" outlineLevel="0" collapsed="false">
      <c r="B55" s="4" t="s">
        <v>286</v>
      </c>
      <c r="E55" s="13" t="s">
        <v>287</v>
      </c>
    </row>
    <row r="56" customFormat="false" ht="15" hidden="false" customHeight="false" outlineLevel="0" collapsed="false">
      <c r="B56" s="3" t="s">
        <v>281</v>
      </c>
      <c r="C56" s="18" t="n">
        <f aca="false">Vergleich!$B$47</f>
        <v>587.674841054584</v>
      </c>
    </row>
    <row r="57" customFormat="false" ht="15" hidden="false" customHeight="false" outlineLevel="0" collapsed="false">
      <c r="B57" s="3" t="s">
        <v>282</v>
      </c>
      <c r="C57" s="18" t="n">
        <f aca="false">Vergleich!$C$47</f>
        <v>768.45211626499</v>
      </c>
    </row>
    <row r="58" customFormat="false" ht="15" hidden="false" customHeight="false" outlineLevel="0" collapsed="false">
      <c r="B58" s="3" t="s">
        <v>283</v>
      </c>
      <c r="C58" s="18" t="n">
        <f aca="false">Vergleich!$D$47</f>
        <v>689.479510418691</v>
      </c>
    </row>
    <row r="60" customFormat="false" ht="15" hidden="false" customHeight="false" outlineLevel="0" collapsed="false">
      <c r="B60" s="19" t="s">
        <v>288</v>
      </c>
      <c r="C60" s="20" t="n">
        <f aca="false">IF(Eingaben!$C$22=2,Umrechnung!$C$54,Eingaben!$C$23)</f>
        <v>300</v>
      </c>
      <c r="E60" s="13" t="s">
        <v>289</v>
      </c>
    </row>
    <row r="61" customFormat="false" ht="15" hidden="false" customHeight="false" outlineLevel="0" collapsed="false">
      <c r="B61" s="19" t="s">
        <v>290</v>
      </c>
      <c r="C61" s="20" t="n">
        <f aca="false">Ansparphase!$AG$8/12</f>
        <v>165.09666802842</v>
      </c>
      <c r="E61" s="13" t="s">
        <v>291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56"/>
    <col collapsed="false" customWidth="true" hidden="false" outlineLevel="0" max="3" min="3" style="0" width="14"/>
    <col collapsed="false" customWidth="true" hidden="false" outlineLevel="0" max="4" min="4" style="0" width="92"/>
  </cols>
  <sheetData>
    <row r="1" customFormat="false" ht="17.35" hidden="false" customHeight="false" outlineLevel="0" collapsed="false">
      <c r="B1" s="1" t="s">
        <v>292</v>
      </c>
    </row>
    <row r="3" customFormat="false" ht="15" hidden="false" customHeight="false" outlineLevel="0" collapsed="false">
      <c r="B3" s="5" t="s">
        <v>293</v>
      </c>
      <c r="C3" s="6"/>
    </row>
    <row r="4" customFormat="false" ht="15" hidden="false" customHeight="false" outlineLevel="0" collapsed="false">
      <c r="B4" s="3" t="s">
        <v>294</v>
      </c>
      <c r="C4" s="21" t="n">
        <v>101400</v>
      </c>
      <c r="D4" s="13" t="s">
        <v>295</v>
      </c>
    </row>
    <row r="5" customFormat="false" ht="15" hidden="false" customHeight="false" outlineLevel="0" collapsed="false">
      <c r="B5" s="3" t="s">
        <v>296</v>
      </c>
      <c r="C5" s="21" t="n">
        <v>69750</v>
      </c>
      <c r="D5" s="13" t="s">
        <v>297</v>
      </c>
    </row>
    <row r="6" customFormat="false" ht="15" hidden="false" customHeight="false" outlineLevel="0" collapsed="false">
      <c r="B6" s="3" t="s">
        <v>298</v>
      </c>
      <c r="C6" s="21" t="n">
        <v>3955</v>
      </c>
      <c r="D6" s="13" t="s">
        <v>299</v>
      </c>
    </row>
    <row r="7" customFormat="false" ht="15" hidden="false" customHeight="false" outlineLevel="0" collapsed="false">
      <c r="B7" s="3" t="s">
        <v>300</v>
      </c>
      <c r="C7" s="22" t="n">
        <f aca="false">Parameter!$C$6/20</f>
        <v>197.75</v>
      </c>
      <c r="D7" s="13" t="s">
        <v>301</v>
      </c>
    </row>
    <row r="8" customFormat="false" ht="15" hidden="false" customHeight="false" outlineLevel="0" collapsed="false">
      <c r="B8" s="3" t="s">
        <v>302</v>
      </c>
      <c r="C8" s="21" t="n">
        <v>51944</v>
      </c>
      <c r="D8" s="13" t="s">
        <v>303</v>
      </c>
    </row>
    <row r="9" customFormat="false" ht="15" hidden="false" customHeight="false" outlineLevel="0" collapsed="false">
      <c r="B9" s="3" t="s">
        <v>304</v>
      </c>
      <c r="C9" s="21" t="n">
        <v>42.52</v>
      </c>
      <c r="D9" s="13" t="s">
        <v>305</v>
      </c>
    </row>
    <row r="10" customFormat="false" ht="15" hidden="false" customHeight="false" outlineLevel="0" collapsed="false">
      <c r="B10" s="3" t="s">
        <v>306</v>
      </c>
      <c r="C10" s="16" t="n">
        <v>0.093</v>
      </c>
      <c r="D10" s="13" t="s">
        <v>307</v>
      </c>
    </row>
    <row r="11" customFormat="false" ht="15" hidden="false" customHeight="false" outlineLevel="0" collapsed="false">
      <c r="B11" s="3" t="s">
        <v>308</v>
      </c>
      <c r="C11" s="16" t="n">
        <v>0.013</v>
      </c>
      <c r="D11" s="13" t="s">
        <v>309</v>
      </c>
    </row>
    <row r="12" customFormat="false" ht="15" hidden="false" customHeight="false" outlineLevel="0" collapsed="false">
      <c r="B12" s="3" t="s">
        <v>310</v>
      </c>
      <c r="C12" s="16" t="n">
        <v>0.146</v>
      </c>
      <c r="D12" s="13" t="s">
        <v>311</v>
      </c>
    </row>
    <row r="13" customFormat="false" ht="15" hidden="false" customHeight="false" outlineLevel="0" collapsed="false">
      <c r="B13" s="3" t="s">
        <v>312</v>
      </c>
      <c r="C13" s="16" t="n">
        <v>0.029</v>
      </c>
      <c r="D13" s="13" t="s">
        <v>313</v>
      </c>
    </row>
    <row r="14" customFormat="false" ht="15" hidden="false" customHeight="false" outlineLevel="0" collapsed="false">
      <c r="B14" s="3" t="s">
        <v>314</v>
      </c>
      <c r="C14" s="16" t="n">
        <v>0.036</v>
      </c>
      <c r="D14" s="13" t="s">
        <v>315</v>
      </c>
    </row>
    <row r="15" customFormat="false" ht="15" hidden="false" customHeight="false" outlineLevel="0" collapsed="false">
      <c r="B15" s="3" t="s">
        <v>316</v>
      </c>
      <c r="C15" s="16" t="n">
        <v>0.018</v>
      </c>
      <c r="D15" s="13" t="s">
        <v>317</v>
      </c>
    </row>
    <row r="16" customFormat="false" ht="15" hidden="false" customHeight="false" outlineLevel="0" collapsed="false">
      <c r="B16" s="3" t="s">
        <v>318</v>
      </c>
      <c r="C16" s="16" t="n">
        <v>0.006</v>
      </c>
      <c r="D16" s="13" t="s">
        <v>319</v>
      </c>
    </row>
    <row r="17" customFormat="false" ht="15" hidden="false" customHeight="false" outlineLevel="0" collapsed="false">
      <c r="B17" s="5" t="s">
        <v>320</v>
      </c>
      <c r="C17" s="6"/>
    </row>
    <row r="18" customFormat="false" ht="15" hidden="false" customHeight="false" outlineLevel="0" collapsed="false">
      <c r="B18" s="3" t="s">
        <v>321</v>
      </c>
      <c r="C18" s="21" t="n">
        <v>12348</v>
      </c>
      <c r="D18" s="13" t="s">
        <v>322</v>
      </c>
    </row>
    <row r="19" customFormat="false" ht="15" hidden="false" customHeight="false" outlineLevel="0" collapsed="false">
      <c r="B19" s="3" t="s">
        <v>323</v>
      </c>
      <c r="C19" s="21" t="n">
        <v>17799</v>
      </c>
      <c r="D19" s="13" t="s">
        <v>324</v>
      </c>
    </row>
    <row r="20" customFormat="false" ht="15" hidden="false" customHeight="false" outlineLevel="0" collapsed="false">
      <c r="B20" s="3" t="s">
        <v>325</v>
      </c>
      <c r="C20" s="21" t="n">
        <v>69878</v>
      </c>
      <c r="D20" s="13" t="s">
        <v>326</v>
      </c>
    </row>
    <row r="21" customFormat="false" ht="15" hidden="false" customHeight="false" outlineLevel="0" collapsed="false">
      <c r="B21" s="3" t="s">
        <v>327</v>
      </c>
      <c r="C21" s="21" t="n">
        <v>277825</v>
      </c>
      <c r="D21" s="13" t="s">
        <v>328</v>
      </c>
    </row>
    <row r="22" customFormat="false" ht="15" hidden="false" customHeight="false" outlineLevel="0" collapsed="false">
      <c r="B22" s="3" t="s">
        <v>329</v>
      </c>
      <c r="C22" s="21" t="n">
        <v>914.51</v>
      </c>
      <c r="D22" s="13" t="s">
        <v>330</v>
      </c>
    </row>
    <row r="23" customFormat="false" ht="15" hidden="false" customHeight="false" outlineLevel="0" collapsed="false">
      <c r="B23" s="3" t="s">
        <v>331</v>
      </c>
      <c r="C23" s="21" t="n">
        <v>1400</v>
      </c>
      <c r="D23" s="13"/>
    </row>
    <row r="24" customFormat="false" ht="15" hidden="false" customHeight="false" outlineLevel="0" collapsed="false">
      <c r="B24" s="3" t="s">
        <v>332</v>
      </c>
      <c r="C24" s="21" t="n">
        <v>173.1</v>
      </c>
      <c r="D24" s="13" t="s">
        <v>333</v>
      </c>
    </row>
    <row r="25" customFormat="false" ht="15" hidden="false" customHeight="false" outlineLevel="0" collapsed="false">
      <c r="B25" s="3" t="s">
        <v>334</v>
      </c>
      <c r="C25" s="21" t="n">
        <v>2397</v>
      </c>
      <c r="D25" s="13"/>
    </row>
    <row r="26" customFormat="false" ht="15" hidden="false" customHeight="false" outlineLevel="0" collapsed="false">
      <c r="B26" s="3" t="s">
        <v>335</v>
      </c>
      <c r="C26" s="21" t="n">
        <v>1034.87</v>
      </c>
      <c r="D26" s="13"/>
    </row>
    <row r="27" customFormat="false" ht="15" hidden="false" customHeight="false" outlineLevel="0" collapsed="false">
      <c r="B27" s="3" t="s">
        <v>336</v>
      </c>
      <c r="C27" s="21" t="n">
        <v>11135.63</v>
      </c>
      <c r="D27" s="13" t="s">
        <v>337</v>
      </c>
    </row>
    <row r="28" customFormat="false" ht="15" hidden="false" customHeight="false" outlineLevel="0" collapsed="false">
      <c r="B28" s="3" t="s">
        <v>338</v>
      </c>
      <c r="C28" s="21" t="n">
        <v>19470.38</v>
      </c>
      <c r="D28" s="13" t="s">
        <v>339</v>
      </c>
    </row>
    <row r="29" customFormat="false" ht="15" hidden="false" customHeight="false" outlineLevel="0" collapsed="false">
      <c r="B29" s="3" t="s">
        <v>340</v>
      </c>
      <c r="C29" s="16" t="n">
        <v>0.055</v>
      </c>
      <c r="D29" s="13" t="s">
        <v>341</v>
      </c>
    </row>
    <row r="30" customFormat="false" ht="15" hidden="false" customHeight="false" outlineLevel="0" collapsed="false">
      <c r="B30" s="3" t="s">
        <v>342</v>
      </c>
      <c r="C30" s="21" t="n">
        <v>20350</v>
      </c>
      <c r="D30" s="13" t="s">
        <v>343</v>
      </c>
    </row>
    <row r="31" customFormat="false" ht="15" hidden="false" customHeight="false" outlineLevel="0" collapsed="false">
      <c r="B31" s="3" t="s">
        <v>344</v>
      </c>
      <c r="C31" s="16" t="n">
        <v>0.119</v>
      </c>
      <c r="D31" s="13" t="s">
        <v>345</v>
      </c>
    </row>
    <row r="32" customFormat="false" ht="15" hidden="false" customHeight="false" outlineLevel="0" collapsed="false">
      <c r="B32" s="3" t="s">
        <v>346</v>
      </c>
      <c r="C32" s="21" t="n">
        <v>1230</v>
      </c>
      <c r="D32" s="13" t="s">
        <v>347</v>
      </c>
    </row>
    <row r="33" customFormat="false" ht="15" hidden="false" customHeight="false" outlineLevel="0" collapsed="false">
      <c r="B33" s="3" t="s">
        <v>348</v>
      </c>
      <c r="C33" s="21" t="n">
        <v>36</v>
      </c>
      <c r="D33" s="13" t="s">
        <v>349</v>
      </c>
    </row>
    <row r="34" customFormat="false" ht="15" hidden="false" customHeight="false" outlineLevel="0" collapsed="false">
      <c r="B34" s="5" t="s">
        <v>350</v>
      </c>
      <c r="C34" s="6"/>
    </row>
    <row r="35" customFormat="false" ht="15" hidden="false" customHeight="false" outlineLevel="0" collapsed="false">
      <c r="B35" s="3" t="s">
        <v>351</v>
      </c>
      <c r="C35" s="16" t="n">
        <v>0.25</v>
      </c>
      <c r="D35" s="13" t="s">
        <v>352</v>
      </c>
    </row>
    <row r="36" customFormat="false" ht="15" hidden="false" customHeight="false" outlineLevel="0" collapsed="false">
      <c r="B36" s="3" t="s">
        <v>353</v>
      </c>
      <c r="C36" s="23" t="n">
        <f aca="false">Parameter!$C$35/(1+Parameter!$C$35*Eingaben!$C$16)*(1+Parameter!$C$29+Eingaben!$C$16)</f>
        <v>0.26375</v>
      </c>
      <c r="D36" s="13" t="s">
        <v>354</v>
      </c>
    </row>
    <row r="37" customFormat="false" ht="15" hidden="false" customHeight="false" outlineLevel="0" collapsed="false">
      <c r="B37" s="3" t="s">
        <v>355</v>
      </c>
      <c r="C37" s="16" t="n">
        <v>0.3</v>
      </c>
      <c r="D37" s="13" t="s">
        <v>356</v>
      </c>
    </row>
    <row r="38" customFormat="false" ht="15" hidden="false" customHeight="false" outlineLevel="0" collapsed="false">
      <c r="B38" s="3" t="s">
        <v>357</v>
      </c>
      <c r="C38" s="21" t="n">
        <v>1000</v>
      </c>
      <c r="D38" s="13" t="s">
        <v>358</v>
      </c>
    </row>
    <row r="39" customFormat="false" ht="15" hidden="false" customHeight="false" outlineLevel="0" collapsed="false">
      <c r="B39" s="3" t="s">
        <v>359</v>
      </c>
      <c r="C39" s="16" t="n">
        <v>0.032</v>
      </c>
      <c r="D39" s="13" t="s">
        <v>360</v>
      </c>
    </row>
    <row r="40" customFormat="false" ht="15" hidden="false" customHeight="false" outlineLevel="0" collapsed="false">
      <c r="B40" s="3" t="s">
        <v>361</v>
      </c>
      <c r="C40" s="16" t="n">
        <v>0.7</v>
      </c>
      <c r="D40" s="13" t="s">
        <v>362</v>
      </c>
    </row>
    <row r="41" customFormat="false" ht="15" hidden="false" customHeight="false" outlineLevel="0" collapsed="false">
      <c r="B41" s="5" t="s">
        <v>363</v>
      </c>
      <c r="C41" s="6"/>
    </row>
    <row r="42" customFormat="false" ht="15" hidden="false" customHeight="false" outlineLevel="0" collapsed="false">
      <c r="B42" s="3" t="s">
        <v>364</v>
      </c>
      <c r="C42" s="16" t="n">
        <v>0.08</v>
      </c>
      <c r="D42" s="13" t="s">
        <v>365</v>
      </c>
    </row>
    <row r="43" customFormat="false" ht="15" hidden="false" customHeight="false" outlineLevel="0" collapsed="false">
      <c r="B43" s="3" t="s">
        <v>366</v>
      </c>
      <c r="C43" s="16" t="n">
        <v>0.04</v>
      </c>
      <c r="D43" s="13" t="s">
        <v>367</v>
      </c>
    </row>
    <row r="44" customFormat="false" ht="15" hidden="false" customHeight="false" outlineLevel="0" collapsed="false">
      <c r="B44" s="3" t="s">
        <v>368</v>
      </c>
      <c r="C44" s="16" t="n">
        <v>0.5</v>
      </c>
      <c r="D44" s="13" t="s">
        <v>369</v>
      </c>
    </row>
    <row r="45" customFormat="false" ht="15" hidden="false" customHeight="false" outlineLevel="0" collapsed="false">
      <c r="B45" s="3" t="s">
        <v>370</v>
      </c>
      <c r="C45" s="21" t="n">
        <v>360</v>
      </c>
      <c r="D45" s="13" t="s">
        <v>371</v>
      </c>
    </row>
    <row r="46" customFormat="false" ht="15" hidden="false" customHeight="false" outlineLevel="0" collapsed="false">
      <c r="B46" s="3" t="s">
        <v>372</v>
      </c>
      <c r="C46" s="16" t="n">
        <v>0.25</v>
      </c>
      <c r="D46" s="13" t="s">
        <v>373</v>
      </c>
    </row>
    <row r="47" customFormat="false" ht="15" hidden="false" customHeight="false" outlineLevel="0" collapsed="false">
      <c r="B47" s="3" t="s">
        <v>374</v>
      </c>
      <c r="C47" s="21" t="n">
        <v>1800</v>
      </c>
      <c r="D47" s="13" t="s">
        <v>375</v>
      </c>
    </row>
    <row r="48" customFormat="false" ht="15" hidden="false" customHeight="false" outlineLevel="0" collapsed="false">
      <c r="B48" s="3" t="s">
        <v>376</v>
      </c>
      <c r="C48" s="21" t="n">
        <v>300</v>
      </c>
      <c r="D48" s="13" t="s">
        <v>377</v>
      </c>
    </row>
    <row r="49" customFormat="false" ht="15" hidden="false" customHeight="false" outlineLevel="0" collapsed="false">
      <c r="B49" s="3" t="s">
        <v>378</v>
      </c>
      <c r="C49" s="21" t="n">
        <v>6840</v>
      </c>
      <c r="D49" s="13" t="s">
        <v>379</v>
      </c>
    </row>
    <row r="50" customFormat="false" ht="15" hidden="false" customHeight="false" outlineLevel="0" collapsed="false">
      <c r="B50" s="3" t="s">
        <v>380</v>
      </c>
      <c r="C50" s="21" t="n">
        <v>2340</v>
      </c>
      <c r="D50" s="13" t="s">
        <v>381</v>
      </c>
    </row>
    <row r="51" customFormat="false" ht="15" hidden="false" customHeight="false" outlineLevel="0" collapsed="false">
      <c r="B51" s="3" t="s">
        <v>382</v>
      </c>
      <c r="C51" s="16" t="n">
        <v>0.17</v>
      </c>
      <c r="D51" s="13" t="s">
        <v>383</v>
      </c>
    </row>
    <row r="52" customFormat="false" ht="15" hidden="false" customHeight="false" outlineLevel="0" collapsed="false">
      <c r="B52" s="3" t="s">
        <v>384</v>
      </c>
      <c r="C52" s="16" t="n">
        <v>0.5</v>
      </c>
      <c r="D52" s="13" t="s">
        <v>385</v>
      </c>
    </row>
    <row r="53" customFormat="false" ht="15" hidden="false" customHeight="false" outlineLevel="0" collapsed="false">
      <c r="B53" s="3" t="s">
        <v>386</v>
      </c>
      <c r="C53" s="23" t="n">
        <f aca="false">(Parameter!$C$12+Parameter!$C$13)/2</f>
        <v>0.0875</v>
      </c>
      <c r="D53" s="13" t="s">
        <v>387</v>
      </c>
    </row>
    <row r="54" customFormat="false" ht="15" hidden="false" customHeight="false" outlineLevel="0" collapsed="false">
      <c r="B54" s="3" t="s">
        <v>388</v>
      </c>
      <c r="C54" s="23" t="n">
        <f aca="false">Parameter!$C$12+Parameter!$C$13</f>
        <v>0.175</v>
      </c>
      <c r="D54" s="13" t="s">
        <v>389</v>
      </c>
    </row>
    <row r="56" customFormat="false" ht="15" hidden="false" customHeight="false" outlineLevel="0" collapsed="false">
      <c r="B56" s="5" t="s">
        <v>390</v>
      </c>
      <c r="C56" s="6"/>
    </row>
    <row r="57" customFormat="false" ht="15" hidden="false" customHeight="false" outlineLevel="0" collapsed="false">
      <c r="B57" s="3" t="s">
        <v>391</v>
      </c>
      <c r="C57" s="24" t="n">
        <f aca="false">IF(Eingaben!$C$14=3,2,1)</f>
        <v>1</v>
      </c>
    </row>
    <row r="58" customFormat="false" ht="15" hidden="false" customHeight="false" outlineLevel="0" collapsed="false">
      <c r="B58" s="3" t="s">
        <v>392</v>
      </c>
      <c r="C58" s="23" t="n">
        <f aca="false">Parameter!$C$15+IF(Eingaben!$C$20=1,Parameter!$C$16,0)</f>
        <v>0.018</v>
      </c>
    </row>
    <row r="59" customFormat="false" ht="15" hidden="false" customHeight="false" outlineLevel="0" collapsed="false">
      <c r="B59" s="3" t="s">
        <v>393</v>
      </c>
      <c r="C59" s="23" t="n">
        <f aca="false">Parameter!$C$14+IF(Eingaben!$C$20=1,Parameter!$C$16,0)</f>
        <v>0.036</v>
      </c>
    </row>
    <row r="60" customFormat="false" ht="15" hidden="false" customHeight="false" outlineLevel="0" collapsed="false">
      <c r="B60" s="3" t="s">
        <v>394</v>
      </c>
      <c r="C60" s="23" t="n">
        <f aca="false">Eingaben!$C$33-Eingaben!$C$34</f>
        <v>0.064</v>
      </c>
    </row>
    <row r="61" customFormat="false" ht="15" hidden="false" customHeight="false" outlineLevel="0" collapsed="false">
      <c r="B61" s="3" t="s">
        <v>395</v>
      </c>
      <c r="C61" s="23" t="n">
        <f aca="false">Eingaben!$C$33-Eingaben!$C$35</f>
        <v>0.065</v>
      </c>
    </row>
    <row r="62" customFormat="false" ht="15" hidden="false" customHeight="false" outlineLevel="0" collapsed="false">
      <c r="B62" s="3" t="s">
        <v>396</v>
      </c>
      <c r="C62" s="23" t="n">
        <f aca="false">Eingaben!$C$33-Eingaben!$C$36</f>
        <v>0.068</v>
      </c>
    </row>
    <row r="63" customFormat="false" ht="15" hidden="false" customHeight="false" outlineLevel="0" collapsed="false">
      <c r="B63" s="3" t="s">
        <v>397</v>
      </c>
      <c r="C63" s="24" t="n">
        <f aca="false">Eingaben!$C$6-Eingaben!$C$5</f>
        <v>27</v>
      </c>
    </row>
    <row r="64" customFormat="false" ht="15" hidden="false" customHeight="false" outlineLevel="0" collapsed="false">
      <c r="B64" s="3" t="s">
        <v>398</v>
      </c>
      <c r="C64" s="24" t="n">
        <f aca="false">Eingaben!$C$7-Eingaben!$C$6+1</f>
        <v>19</v>
      </c>
    </row>
    <row r="65" customFormat="false" ht="15" hidden="false" customHeight="false" outlineLevel="0" collapsed="false">
      <c r="B65" s="3" t="s">
        <v>399</v>
      </c>
      <c r="C65" s="24" t="n">
        <f aca="false">2026+Eingaben!$C$6-Eingaben!$C$5</f>
        <v>2053</v>
      </c>
    </row>
    <row r="66" customFormat="false" ht="15" hidden="false" customHeight="false" outlineLevel="0" collapsed="false">
      <c r="B66" s="3" t="s">
        <v>400</v>
      </c>
      <c r="C66" s="23" t="n">
        <f aca="false">MIN(1,0.825+0.005*(Parameter!$C$65-2023))</f>
        <v>0.975</v>
      </c>
    </row>
    <row r="67" customFormat="false" ht="15" hidden="false" customHeight="false" outlineLevel="0" collapsed="false">
      <c r="B67" s="3" t="s">
        <v>401</v>
      </c>
      <c r="C67" s="25" t="n">
        <f aca="false">Parameter!$C$38*IF(Eingaben!$C$14=3,2,1)</f>
        <v>1000</v>
      </c>
      <c r="D67" s="13" t="s">
        <v>402</v>
      </c>
    </row>
    <row r="68" customFormat="false" ht="15" hidden="false" customHeight="false" outlineLevel="0" collapsed="false">
      <c r="B68" s="3" t="s">
        <v>403</v>
      </c>
      <c r="C68" s="23" t="n">
        <f aca="false">Parameter!$C$62*(1-Parameter!$C$36*(1-Parameter!$C$37))</f>
        <v>0.0554455</v>
      </c>
      <c r="D68" s="13" t="s">
        <v>404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R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8"/>
    <col collapsed="false" customWidth="true" hidden="false" outlineLevel="0" max="5" min="3" style="0" width="14"/>
    <col collapsed="false" customWidth="true" hidden="false" outlineLevel="0" max="12" min="6" style="0" width="12"/>
    <col collapsed="false" customWidth="true" hidden="false" outlineLevel="0" max="17" min="13" style="0" width="13"/>
    <col collapsed="false" customWidth="true" hidden="false" outlineLevel="0" max="18" min="18" style="0" width="14"/>
  </cols>
  <sheetData>
    <row r="1" customFormat="false" ht="17.35" hidden="false" customHeight="false" outlineLevel="0" collapsed="false">
      <c r="B1" s="1" t="s">
        <v>405</v>
      </c>
    </row>
    <row r="2" customFormat="false" ht="15" hidden="false" customHeight="false" outlineLevel="0" collapsed="false">
      <c r="B2" s="2" t="s">
        <v>406</v>
      </c>
    </row>
    <row r="4" customFormat="false" ht="15" hidden="false" customHeight="false" outlineLevel="0" collapsed="false">
      <c r="B4" s="3" t="s">
        <v>407</v>
      </c>
      <c r="C4" s="26" t="n">
        <f aca="false">IF(Eingaben!$C$5&gt;=Eingaben!$C$9,Eingaben!$C$10,1)</f>
        <v>1</v>
      </c>
    </row>
    <row r="5" customFormat="false" ht="15" hidden="false" customHeight="false" outlineLevel="0" collapsed="false">
      <c r="B5" s="3" t="s">
        <v>408</v>
      </c>
      <c r="C5" s="27" t="n">
        <f aca="false">Eingaben!$C$12*Umrechnung!$C$4</f>
        <v>75000</v>
      </c>
    </row>
    <row r="6" customFormat="false" ht="15" hidden="false" customHeight="false" outlineLevel="0" collapsed="false">
      <c r="B6" s="3" t="s">
        <v>409</v>
      </c>
      <c r="C6" s="27" t="n">
        <f aca="false">Parameter!$C$4</f>
        <v>101400</v>
      </c>
    </row>
    <row r="7" customFormat="false" ht="15" hidden="false" customHeight="false" outlineLevel="0" collapsed="false">
      <c r="B7" s="3" t="s">
        <v>410</v>
      </c>
      <c r="C7" s="27" t="n">
        <f aca="false">Parameter!$C$5</f>
        <v>69750</v>
      </c>
    </row>
    <row r="8" customFormat="false" ht="15" hidden="false" customHeight="false" outlineLevel="0" collapsed="false">
      <c r="B8" s="3" t="s">
        <v>411</v>
      </c>
      <c r="C8" s="28" t="n">
        <f aca="false">1</f>
        <v>1</v>
      </c>
    </row>
    <row r="9" customFormat="false" ht="15" hidden="false" customHeight="false" outlineLevel="0" collapsed="false">
      <c r="B9" s="3" t="s">
        <v>412</v>
      </c>
      <c r="C9" s="27" t="n">
        <f aca="false">12*Eingaben!$C$24</f>
        <v>1980</v>
      </c>
    </row>
    <row r="10" customFormat="false" ht="15" hidden="false" customHeight="false" outlineLevel="0" collapsed="false">
      <c r="B10" s="3" t="s">
        <v>413</v>
      </c>
      <c r="C10" s="27" t="n">
        <f aca="false">MIN(Umrechnung!$C$5,Umrechnung!$C$6)*Parameter!$C$10+MIN(Umrechnung!$C$5,Umrechnung!$C$7)*(0.96*(Parameter!$C$12+Parameter!$C$13)/2+Parameter!$C$58)</f>
        <v>14089.5</v>
      </c>
    </row>
    <row r="11" customFormat="false" ht="15" hidden="false" customHeight="false" outlineLevel="0" collapsed="false">
      <c r="B11" s="3" t="s">
        <v>414</v>
      </c>
      <c r="C11" s="27" t="n">
        <f aca="false">MAX(0,Umrechnung!$C$5-Parameter!$C$32-Parameter!$C$33-Umrechnung!$C$10)</f>
        <v>59644.5</v>
      </c>
    </row>
    <row r="12" customFormat="false" ht="15" hidden="false" customHeight="false" outlineLevel="0" collapsed="false">
      <c r="B12" s="3" t="s">
        <v>415</v>
      </c>
      <c r="C12" s="27" t="n">
        <f aca="false">MAX(0,(Umrechnung!$C$11+IF(Eingaben!$C$14=3,Eingaben!$C$15,0))/Parameter!$C$57/Umrechnung!$C$8)</f>
        <v>59644.5</v>
      </c>
    </row>
    <row r="13" customFormat="false" ht="15" hidden="false" customHeight="false" outlineLevel="0" collapsed="false">
      <c r="B13" s="3" t="s">
        <v>416</v>
      </c>
      <c r="C13" s="27" t="n">
        <f aca="false">Parameter!$C$57*Umrechnung!$C$8*(IF(Umrechnung!$C$12&lt;=Parameter!$C$18,0,IF(Umrechnung!$C$12&lt;=Parameter!$C$19,(Parameter!$C$22*(Umrechnung!$C$12-Parameter!$C$18)/10000+Parameter!$C$23)*(Umrechnung!$C$12-Parameter!$C$18)/10000,IF(Umrechnung!$C$12&lt;=Parameter!$C$20,(Parameter!$C$24*(Umrechnung!$C$12-Parameter!$C$19)/10000+Parameter!$C$25)*(Umrechnung!$C$12-Parameter!$C$19)/10000+Parameter!$C$26,IF(Umrechnung!$C$12&lt;=Parameter!$C$21,0.42*Umrechnung!$C$12-Parameter!$C$27,0.45*Umrechnung!$C$12-Parameter!$C$28)))))</f>
        <v>14096.2967514028</v>
      </c>
    </row>
    <row r="14" customFormat="false" ht="15" hidden="false" customHeight="false" outlineLevel="0" collapsed="false">
      <c r="B14" s="3" t="s">
        <v>417</v>
      </c>
      <c r="C14" s="27" t="n">
        <f aca="false">Umrechnung!$C$13+IF(Umrechnung!$C$13&lt;=(Parameter!$C$30*Parameter!$C$57*Umrechnung!$C$8),0,MIN(Parameter!$C$29*Umrechnung!$C$13,Parameter!$C$31*(Umrechnung!$C$13-(Parameter!$C$30*Parameter!$C$57*Umrechnung!$C$8))))+Eingaben!$C$16*Umrechnung!$C$13</f>
        <v>14096.2967514028</v>
      </c>
    </row>
    <row r="16" customFormat="false" ht="15" hidden="false" customHeight="false" outlineLevel="0" collapsed="false">
      <c r="B16" s="4" t="s">
        <v>418</v>
      </c>
    </row>
    <row r="17" customFormat="false" ht="15" hidden="false" customHeight="false" outlineLevel="0" collapsed="false">
      <c r="B17" s="29" t="s">
        <v>419</v>
      </c>
      <c r="C17" s="29" t="s">
        <v>420</v>
      </c>
      <c r="D17" s="29" t="s">
        <v>421</v>
      </c>
      <c r="E17" s="29" t="s">
        <v>422</v>
      </c>
      <c r="F17" s="29" t="s">
        <v>423</v>
      </c>
      <c r="G17" s="29" t="s">
        <v>424</v>
      </c>
      <c r="H17" s="29" t="s">
        <v>425</v>
      </c>
      <c r="I17" s="29" t="s">
        <v>426</v>
      </c>
      <c r="J17" s="29" t="s">
        <v>427</v>
      </c>
      <c r="K17" s="29" t="s">
        <v>428</v>
      </c>
      <c r="L17" s="29" t="s">
        <v>429</v>
      </c>
      <c r="M17" s="29" t="s">
        <v>430</v>
      </c>
      <c r="N17" s="29" t="s">
        <v>431</v>
      </c>
      <c r="O17" s="29" t="s">
        <v>432</v>
      </c>
      <c r="P17" s="29" t="s">
        <v>433</v>
      </c>
      <c r="Q17" s="29" t="s">
        <v>434</v>
      </c>
      <c r="R17" s="29" t="s">
        <v>435</v>
      </c>
    </row>
    <row r="18" customFormat="false" ht="15" hidden="false" customHeight="false" outlineLevel="0" collapsed="false">
      <c r="B18" s="30" t="s">
        <v>436</v>
      </c>
      <c r="C18" s="31" t="n">
        <f aca="false">0</f>
        <v>0</v>
      </c>
      <c r="D18" s="31" t="n">
        <f aca="false">Umrechnung!$C$5</f>
        <v>75000</v>
      </c>
      <c r="E18" s="31" t="n">
        <f aca="false">(C18+D18)/2</f>
        <v>37500</v>
      </c>
      <c r="F18" s="31" t="n">
        <f aca="false">MIN(E18,Parameter!$C$43*Umrechnung!$C$6)</f>
        <v>4056</v>
      </c>
      <c r="G18" s="31" t="n">
        <f aca="false">MIN(Umrechnung!$C$5,Umrechnung!$C$6)-MIN(Umrechnung!$C$5-F18,Umrechnung!$C$6)</f>
        <v>4056</v>
      </c>
      <c r="H18" s="31" t="n">
        <f aca="false">MIN(Umrechnung!$C$5,Umrechnung!$C$7)-MIN(Umrechnung!$C$5-F18,Umrechnung!$C$7)</f>
        <v>0</v>
      </c>
      <c r="I18" s="31" t="n">
        <f aca="false">G18*(Parameter!$C$10+Parameter!$C$11)+H18*((Parameter!$C$12+Parameter!$C$13)/2+Parameter!$C$58)</f>
        <v>429.936</v>
      </c>
      <c r="J18" s="31" t="n">
        <f aca="false">G18*(Parameter!$C$10+Parameter!$C$11)+H18*((Parameter!$C$12+Parameter!$C$13)/2+Parameter!$C$15)</f>
        <v>429.936</v>
      </c>
      <c r="K18" s="31" t="n">
        <f aca="false">IF(Eingaben!$C$27=2,MIN(Eingaben!$C$26*E18,J18),Eingaben!$C$26*IF(Eingaben!$C$27=1,F18,E18))</f>
        <v>429.936</v>
      </c>
      <c r="L18" s="31" t="n">
        <f aca="false">MIN(E18,MAX(0,Parameter!$C$42*Umrechnung!$C$6-K18))</f>
        <v>7682.064</v>
      </c>
      <c r="M18" s="31" t="n">
        <f aca="false">MIN(Umrechnung!$C$5-F18,Umrechnung!$C$6)*Parameter!$C$10+MIN(Umrechnung!$C$5-F18,Umrechnung!$C$7)*(0.96*(Parameter!$C$12+Parameter!$C$13)/2+Parameter!$C$58)</f>
        <v>13712.292</v>
      </c>
      <c r="N18" s="31" t="n">
        <f aca="false">MAX(0,Umrechnung!$C$5-L18-Parameter!$C$32-Parameter!$C$33-M18)</f>
        <v>52339.644</v>
      </c>
      <c r="O18" s="31" t="n">
        <f aca="false">MAX(0,(N18+IF(Eingaben!$C$14=3,Eingaben!$C$15,0))/Parameter!$C$57/Umrechnung!$C$8)</f>
        <v>52339.644</v>
      </c>
      <c r="P18" s="31" t="n">
        <f aca="false">Parameter!$C$57*Umrechnung!$C$8*(IF(O18&lt;=Parameter!$C$18,0,IF(O18&lt;=Parameter!$C$19,(Parameter!$C$22*(O18-Parameter!$C$18)/10000+Parameter!$C$23)*(O18-Parameter!$C$18)/10000,IF(O18&lt;=Parameter!$C$20,(Parameter!$C$24*(O18-Parameter!$C$19)/10000+Parameter!$C$25)*(O18-Parameter!$C$19)/10000+Parameter!$C$26,IF(O18&lt;=Parameter!$C$21,0.42*O18-Parameter!$C$27,0.45*O18-Parameter!$C$28)))))</f>
        <v>11379.442455015</v>
      </c>
      <c r="Q18" s="31" t="n">
        <f aca="false">P18+IF(P18&lt;=(Parameter!$C$30*Parameter!$C$57*Umrechnung!$C$8),0,MIN(Parameter!$C$29*P18,Parameter!$C$31*(P18-(Parameter!$C$30*Parameter!$C$57*Umrechnung!$C$8))))+Eingaben!$C$16*P18</f>
        <v>11379.442455015</v>
      </c>
      <c r="R18" s="31" t="n">
        <f aca="false">E18-I18-(Umrechnung!$C$14-Q18)</f>
        <v>34353.2097036123</v>
      </c>
    </row>
    <row r="19" customFormat="false" ht="15" hidden="false" customHeight="false" outlineLevel="0" collapsed="false">
      <c r="B19" s="32" t="s">
        <v>437</v>
      </c>
      <c r="C19" s="33" t="n">
        <f aca="false">IF(R18&lt;Umrechnung!$C$9,E18,C18)</f>
        <v>0</v>
      </c>
      <c r="D19" s="33" t="n">
        <f aca="false">IF(R18&lt;Umrechnung!$C$9,D18,E18)</f>
        <v>37500</v>
      </c>
      <c r="E19" s="33" t="n">
        <f aca="false">(C19+D19)/2</f>
        <v>18750</v>
      </c>
      <c r="F19" s="33" t="n">
        <f aca="false">MIN(E19,Parameter!$C$43*Umrechnung!$C$6)</f>
        <v>4056</v>
      </c>
      <c r="G19" s="33" t="n">
        <f aca="false">MIN(Umrechnung!$C$5,Umrechnung!$C$6)-MIN(Umrechnung!$C$5-F19,Umrechnung!$C$6)</f>
        <v>4056</v>
      </c>
      <c r="H19" s="33" t="n">
        <f aca="false">MIN(Umrechnung!$C$5,Umrechnung!$C$7)-MIN(Umrechnung!$C$5-F19,Umrechnung!$C$7)</f>
        <v>0</v>
      </c>
      <c r="I19" s="33" t="n">
        <f aca="false">G19*(Parameter!$C$10+Parameter!$C$11)+H19*((Parameter!$C$12+Parameter!$C$13)/2+Parameter!$C$58)</f>
        <v>429.936</v>
      </c>
      <c r="J19" s="33" t="n">
        <f aca="false">G19*(Parameter!$C$10+Parameter!$C$11)+H19*((Parameter!$C$12+Parameter!$C$13)/2+Parameter!$C$15)</f>
        <v>429.936</v>
      </c>
      <c r="K19" s="33" t="n">
        <f aca="false">IF(Eingaben!$C$27=2,MIN(Eingaben!$C$26*E19,J19),Eingaben!$C$26*IF(Eingaben!$C$27=1,F19,E19))</f>
        <v>429.936</v>
      </c>
      <c r="L19" s="33" t="n">
        <f aca="false">MIN(E19,MAX(0,Parameter!$C$42*Umrechnung!$C$6-K19))</f>
        <v>7682.064</v>
      </c>
      <c r="M19" s="33" t="n">
        <f aca="false">MIN(Umrechnung!$C$5-F19,Umrechnung!$C$6)*Parameter!$C$10+MIN(Umrechnung!$C$5-F19,Umrechnung!$C$7)*(0.96*(Parameter!$C$12+Parameter!$C$13)/2+Parameter!$C$58)</f>
        <v>13712.292</v>
      </c>
      <c r="N19" s="33" t="n">
        <f aca="false">MAX(0,Umrechnung!$C$5-L19-Parameter!$C$32-Parameter!$C$33-M19)</f>
        <v>52339.644</v>
      </c>
      <c r="O19" s="33" t="n">
        <f aca="false">MAX(0,(N19+IF(Eingaben!$C$14=3,Eingaben!$C$15,0))/Parameter!$C$57/Umrechnung!$C$8)</f>
        <v>52339.644</v>
      </c>
      <c r="P19" s="33" t="n">
        <f aca="false">Parameter!$C$57*Umrechnung!$C$8*(IF(O19&lt;=Parameter!$C$18,0,IF(O19&lt;=Parameter!$C$19,(Parameter!$C$22*(O19-Parameter!$C$18)/10000+Parameter!$C$23)*(O19-Parameter!$C$18)/10000,IF(O19&lt;=Parameter!$C$20,(Parameter!$C$24*(O19-Parameter!$C$19)/10000+Parameter!$C$25)*(O19-Parameter!$C$19)/10000+Parameter!$C$26,IF(O19&lt;=Parameter!$C$21,0.42*O19-Parameter!$C$27,0.45*O19-Parameter!$C$28)))))</f>
        <v>11379.442455015</v>
      </c>
      <c r="Q19" s="33" t="n">
        <f aca="false">P19+IF(P19&lt;=(Parameter!$C$30*Parameter!$C$57*Umrechnung!$C$8),0,MIN(Parameter!$C$29*P19,Parameter!$C$31*(P19-(Parameter!$C$30*Parameter!$C$57*Umrechnung!$C$8))))+Eingaben!$C$16*P19</f>
        <v>11379.442455015</v>
      </c>
      <c r="R19" s="33" t="n">
        <f aca="false">E19-I19-(Umrechnung!$C$14-Q19)</f>
        <v>15603.2097036123</v>
      </c>
    </row>
    <row r="20" customFormat="false" ht="15" hidden="false" customHeight="false" outlineLevel="0" collapsed="false">
      <c r="B20" s="30" t="s">
        <v>438</v>
      </c>
      <c r="C20" s="31" t="n">
        <f aca="false">IF(R19&lt;Umrechnung!$C$9,E19,C19)</f>
        <v>0</v>
      </c>
      <c r="D20" s="31" t="n">
        <f aca="false">IF(R19&lt;Umrechnung!$C$9,D19,E19)</f>
        <v>18750</v>
      </c>
      <c r="E20" s="31" t="n">
        <f aca="false">(C20+D20)/2</f>
        <v>9375</v>
      </c>
      <c r="F20" s="31" t="n">
        <f aca="false">MIN(E20,Parameter!$C$43*Umrechnung!$C$6)</f>
        <v>4056</v>
      </c>
      <c r="G20" s="31" t="n">
        <f aca="false">MIN(Umrechnung!$C$5,Umrechnung!$C$6)-MIN(Umrechnung!$C$5-F20,Umrechnung!$C$6)</f>
        <v>4056</v>
      </c>
      <c r="H20" s="31" t="n">
        <f aca="false">MIN(Umrechnung!$C$5,Umrechnung!$C$7)-MIN(Umrechnung!$C$5-F20,Umrechnung!$C$7)</f>
        <v>0</v>
      </c>
      <c r="I20" s="31" t="n">
        <f aca="false">G20*(Parameter!$C$10+Parameter!$C$11)+H20*((Parameter!$C$12+Parameter!$C$13)/2+Parameter!$C$58)</f>
        <v>429.936</v>
      </c>
      <c r="J20" s="31" t="n">
        <f aca="false">G20*(Parameter!$C$10+Parameter!$C$11)+H20*((Parameter!$C$12+Parameter!$C$13)/2+Parameter!$C$15)</f>
        <v>429.936</v>
      </c>
      <c r="K20" s="31" t="n">
        <f aca="false">IF(Eingaben!$C$27=2,MIN(Eingaben!$C$26*E20,J20),Eingaben!$C$26*IF(Eingaben!$C$27=1,F20,E20))</f>
        <v>429.936</v>
      </c>
      <c r="L20" s="31" t="n">
        <f aca="false">MIN(E20,MAX(0,Parameter!$C$42*Umrechnung!$C$6-K20))</f>
        <v>7682.064</v>
      </c>
      <c r="M20" s="31" t="n">
        <f aca="false">MIN(Umrechnung!$C$5-F20,Umrechnung!$C$6)*Parameter!$C$10+MIN(Umrechnung!$C$5-F20,Umrechnung!$C$7)*(0.96*(Parameter!$C$12+Parameter!$C$13)/2+Parameter!$C$58)</f>
        <v>13712.292</v>
      </c>
      <c r="N20" s="31" t="n">
        <f aca="false">MAX(0,Umrechnung!$C$5-L20-Parameter!$C$32-Parameter!$C$33-M20)</f>
        <v>52339.644</v>
      </c>
      <c r="O20" s="31" t="n">
        <f aca="false">MAX(0,(N20+IF(Eingaben!$C$14=3,Eingaben!$C$15,0))/Parameter!$C$57/Umrechnung!$C$8)</f>
        <v>52339.644</v>
      </c>
      <c r="P20" s="31" t="n">
        <f aca="false">Parameter!$C$57*Umrechnung!$C$8*(IF(O20&lt;=Parameter!$C$18,0,IF(O20&lt;=Parameter!$C$19,(Parameter!$C$22*(O20-Parameter!$C$18)/10000+Parameter!$C$23)*(O20-Parameter!$C$18)/10000,IF(O20&lt;=Parameter!$C$20,(Parameter!$C$24*(O20-Parameter!$C$19)/10000+Parameter!$C$25)*(O20-Parameter!$C$19)/10000+Parameter!$C$26,IF(O20&lt;=Parameter!$C$21,0.42*O20-Parameter!$C$27,0.45*O20-Parameter!$C$28)))))</f>
        <v>11379.442455015</v>
      </c>
      <c r="Q20" s="31" t="n">
        <f aca="false">P20+IF(P20&lt;=(Parameter!$C$30*Parameter!$C$57*Umrechnung!$C$8),0,MIN(Parameter!$C$29*P20,Parameter!$C$31*(P20-(Parameter!$C$30*Parameter!$C$57*Umrechnung!$C$8))))+Eingaben!$C$16*P20</f>
        <v>11379.442455015</v>
      </c>
      <c r="R20" s="31" t="n">
        <f aca="false">E20-I20-(Umrechnung!$C$14-Q20)</f>
        <v>6228.20970361228</v>
      </c>
    </row>
    <row r="21" customFormat="false" ht="15" hidden="false" customHeight="false" outlineLevel="0" collapsed="false">
      <c r="B21" s="32" t="s">
        <v>439</v>
      </c>
      <c r="C21" s="33" t="n">
        <f aca="false">IF(R20&lt;Umrechnung!$C$9,E20,C20)</f>
        <v>0</v>
      </c>
      <c r="D21" s="33" t="n">
        <f aca="false">IF(R20&lt;Umrechnung!$C$9,D20,E20)</f>
        <v>9375</v>
      </c>
      <c r="E21" s="33" t="n">
        <f aca="false">(C21+D21)/2</f>
        <v>4687.5</v>
      </c>
      <c r="F21" s="33" t="n">
        <f aca="false">MIN(E21,Parameter!$C$43*Umrechnung!$C$6)</f>
        <v>4056</v>
      </c>
      <c r="G21" s="33" t="n">
        <f aca="false">MIN(Umrechnung!$C$5,Umrechnung!$C$6)-MIN(Umrechnung!$C$5-F21,Umrechnung!$C$6)</f>
        <v>4056</v>
      </c>
      <c r="H21" s="33" t="n">
        <f aca="false">MIN(Umrechnung!$C$5,Umrechnung!$C$7)-MIN(Umrechnung!$C$5-F21,Umrechnung!$C$7)</f>
        <v>0</v>
      </c>
      <c r="I21" s="33" t="n">
        <f aca="false">G21*(Parameter!$C$10+Parameter!$C$11)+H21*((Parameter!$C$12+Parameter!$C$13)/2+Parameter!$C$58)</f>
        <v>429.936</v>
      </c>
      <c r="J21" s="33" t="n">
        <f aca="false">G21*(Parameter!$C$10+Parameter!$C$11)+H21*((Parameter!$C$12+Parameter!$C$13)/2+Parameter!$C$15)</f>
        <v>429.936</v>
      </c>
      <c r="K21" s="33" t="n">
        <f aca="false">IF(Eingaben!$C$27=2,MIN(Eingaben!$C$26*E21,J21),Eingaben!$C$26*IF(Eingaben!$C$27=1,F21,E21))</f>
        <v>429.936</v>
      </c>
      <c r="L21" s="33" t="n">
        <f aca="false">MIN(E21,MAX(0,Parameter!$C$42*Umrechnung!$C$6-K21))</f>
        <v>4687.5</v>
      </c>
      <c r="M21" s="33" t="n">
        <f aca="false">MIN(Umrechnung!$C$5-F21,Umrechnung!$C$6)*Parameter!$C$10+MIN(Umrechnung!$C$5-F21,Umrechnung!$C$7)*(0.96*(Parameter!$C$12+Parameter!$C$13)/2+Parameter!$C$58)</f>
        <v>13712.292</v>
      </c>
      <c r="N21" s="33" t="n">
        <f aca="false">MAX(0,Umrechnung!$C$5-L21-Parameter!$C$32-Parameter!$C$33-M21)</f>
        <v>55334.208</v>
      </c>
      <c r="O21" s="33" t="n">
        <f aca="false">MAX(0,(N21+IF(Eingaben!$C$14=3,Eingaben!$C$15,0))/Parameter!$C$57/Umrechnung!$C$8)</f>
        <v>55334.208</v>
      </c>
      <c r="P21" s="33" t="n">
        <f aca="false">Parameter!$C$57*Umrechnung!$C$8*(IF(O21&lt;=Parameter!$C$18,0,IF(O21&lt;=Parameter!$C$19,(Parameter!$C$22*(O21-Parameter!$C$18)/10000+Parameter!$C$23)*(O21-Parameter!$C$18)/10000,IF(O21&lt;=Parameter!$C$20,(Parameter!$C$24*(O21-Parameter!$C$19)/10000+Parameter!$C$25)*(O21-Parameter!$C$19)/10000+Parameter!$C$26,IF(O21&lt;=Parameter!$C$21,0.42*O21-Parameter!$C$27,0.45*O21-Parameter!$C$28)))))</f>
        <v>12470.8511319532</v>
      </c>
      <c r="Q21" s="33" t="n">
        <f aca="false">P21+IF(P21&lt;=(Parameter!$C$30*Parameter!$C$57*Umrechnung!$C$8),0,MIN(Parameter!$C$29*P21,Parameter!$C$31*(P21-(Parameter!$C$30*Parameter!$C$57*Umrechnung!$C$8))))+Eingaben!$C$16*P21</f>
        <v>12470.8511319532</v>
      </c>
      <c r="R21" s="33" t="n">
        <f aca="false">E21-I21-(Umrechnung!$C$14-Q21)</f>
        <v>2632.1183805505</v>
      </c>
    </row>
    <row r="22" customFormat="false" ht="15" hidden="false" customHeight="false" outlineLevel="0" collapsed="false">
      <c r="B22" s="30" t="s">
        <v>440</v>
      </c>
      <c r="C22" s="31" t="n">
        <f aca="false">IF(R21&lt;Umrechnung!$C$9,E21,C21)</f>
        <v>0</v>
      </c>
      <c r="D22" s="31" t="n">
        <f aca="false">IF(R21&lt;Umrechnung!$C$9,D21,E21)</f>
        <v>4687.5</v>
      </c>
      <c r="E22" s="31" t="n">
        <f aca="false">(C22+D22)/2</f>
        <v>2343.75</v>
      </c>
      <c r="F22" s="31" t="n">
        <f aca="false">MIN(E22,Parameter!$C$43*Umrechnung!$C$6)</f>
        <v>2343.75</v>
      </c>
      <c r="G22" s="31" t="n">
        <f aca="false">MIN(Umrechnung!$C$5,Umrechnung!$C$6)-MIN(Umrechnung!$C$5-F22,Umrechnung!$C$6)</f>
        <v>2343.75</v>
      </c>
      <c r="H22" s="31" t="n">
        <f aca="false">MIN(Umrechnung!$C$5,Umrechnung!$C$7)-MIN(Umrechnung!$C$5-F22,Umrechnung!$C$7)</f>
        <v>0</v>
      </c>
      <c r="I22" s="31" t="n">
        <f aca="false">G22*(Parameter!$C$10+Parameter!$C$11)+H22*((Parameter!$C$12+Parameter!$C$13)/2+Parameter!$C$58)</f>
        <v>248.4375</v>
      </c>
      <c r="J22" s="31" t="n">
        <f aca="false">G22*(Parameter!$C$10+Parameter!$C$11)+H22*((Parameter!$C$12+Parameter!$C$13)/2+Parameter!$C$15)</f>
        <v>248.4375</v>
      </c>
      <c r="K22" s="31" t="n">
        <f aca="false">IF(Eingaben!$C$27=2,MIN(Eingaben!$C$26*E22,J22),Eingaben!$C$26*IF(Eingaben!$C$27=1,F22,E22))</f>
        <v>248.4375</v>
      </c>
      <c r="L22" s="31" t="n">
        <f aca="false">MIN(E22,MAX(0,Parameter!$C$42*Umrechnung!$C$6-K22))</f>
        <v>2343.75</v>
      </c>
      <c r="M22" s="31" t="n">
        <f aca="false">MIN(Umrechnung!$C$5-F22,Umrechnung!$C$6)*Parameter!$C$10+MIN(Umrechnung!$C$5-F22,Umrechnung!$C$7)*(0.96*(Parameter!$C$12+Parameter!$C$13)/2+Parameter!$C$58)</f>
        <v>13871.53125</v>
      </c>
      <c r="N22" s="31" t="n">
        <f aca="false">MAX(0,Umrechnung!$C$5-L22-Parameter!$C$32-Parameter!$C$33-M22)</f>
        <v>57518.71875</v>
      </c>
      <c r="O22" s="31" t="n">
        <f aca="false">MAX(0,(N22+IF(Eingaben!$C$14=3,Eingaben!$C$15,0))/Parameter!$C$57/Umrechnung!$C$8)</f>
        <v>57518.71875</v>
      </c>
      <c r="P22" s="31" t="n">
        <f aca="false">Parameter!$C$57*Umrechnung!$C$8*(IF(O22&lt;=Parameter!$C$18,0,IF(O22&lt;=Parameter!$C$19,(Parameter!$C$22*(O22-Parameter!$C$18)/10000+Parameter!$C$23)*(O22-Parameter!$C$18)/10000,IF(O22&lt;=Parameter!$C$20,(Parameter!$C$24*(O22-Parameter!$C$19)/10000+Parameter!$C$25)*(O22-Parameter!$C$19)/10000+Parameter!$C$26,IF(O22&lt;=Parameter!$C$21,0.42*O22-Parameter!$C$27,0.45*O22-Parameter!$C$28)))))</f>
        <v>13286.6092200444</v>
      </c>
      <c r="Q22" s="31" t="n">
        <f aca="false">P22+IF(P22&lt;=(Parameter!$C$30*Parameter!$C$57*Umrechnung!$C$8),0,MIN(Parameter!$C$29*P22,Parameter!$C$31*(P22-(Parameter!$C$30*Parameter!$C$57*Umrechnung!$C$8))))+Eingaben!$C$16*P22</f>
        <v>13286.6092200444</v>
      </c>
      <c r="R22" s="31" t="n">
        <f aca="false">E22-I22-(Umrechnung!$C$14-Q22)</f>
        <v>1285.62496864167</v>
      </c>
    </row>
    <row r="23" customFormat="false" ht="15" hidden="false" customHeight="false" outlineLevel="0" collapsed="false">
      <c r="B23" s="32" t="s">
        <v>441</v>
      </c>
      <c r="C23" s="33" t="n">
        <f aca="false">IF(R22&lt;Umrechnung!$C$9,E22,C22)</f>
        <v>2343.75</v>
      </c>
      <c r="D23" s="33" t="n">
        <f aca="false">IF(R22&lt;Umrechnung!$C$9,D22,E22)</f>
        <v>4687.5</v>
      </c>
      <c r="E23" s="33" t="n">
        <f aca="false">(C23+D23)/2</f>
        <v>3515.625</v>
      </c>
      <c r="F23" s="33" t="n">
        <f aca="false">MIN(E23,Parameter!$C$43*Umrechnung!$C$6)</f>
        <v>3515.625</v>
      </c>
      <c r="G23" s="33" t="n">
        <f aca="false">MIN(Umrechnung!$C$5,Umrechnung!$C$6)-MIN(Umrechnung!$C$5-F23,Umrechnung!$C$6)</f>
        <v>3515.625</v>
      </c>
      <c r="H23" s="33" t="n">
        <f aca="false">MIN(Umrechnung!$C$5,Umrechnung!$C$7)-MIN(Umrechnung!$C$5-F23,Umrechnung!$C$7)</f>
        <v>0</v>
      </c>
      <c r="I23" s="33" t="n">
        <f aca="false">G23*(Parameter!$C$10+Parameter!$C$11)+H23*((Parameter!$C$12+Parameter!$C$13)/2+Parameter!$C$58)</f>
        <v>372.65625</v>
      </c>
      <c r="J23" s="33" t="n">
        <f aca="false">G23*(Parameter!$C$10+Parameter!$C$11)+H23*((Parameter!$C$12+Parameter!$C$13)/2+Parameter!$C$15)</f>
        <v>372.65625</v>
      </c>
      <c r="K23" s="33" t="n">
        <f aca="false">IF(Eingaben!$C$27=2,MIN(Eingaben!$C$26*E23,J23),Eingaben!$C$26*IF(Eingaben!$C$27=1,F23,E23))</f>
        <v>372.65625</v>
      </c>
      <c r="L23" s="33" t="n">
        <f aca="false">MIN(E23,MAX(0,Parameter!$C$42*Umrechnung!$C$6-K23))</f>
        <v>3515.625</v>
      </c>
      <c r="M23" s="33" t="n">
        <f aca="false">MIN(Umrechnung!$C$5-F23,Umrechnung!$C$6)*Parameter!$C$10+MIN(Umrechnung!$C$5-F23,Umrechnung!$C$7)*(0.96*(Parameter!$C$12+Parameter!$C$13)/2+Parameter!$C$58)</f>
        <v>13762.546875</v>
      </c>
      <c r="N23" s="33" t="n">
        <f aca="false">MAX(0,Umrechnung!$C$5-L23-Parameter!$C$32-Parameter!$C$33-M23)</f>
        <v>56455.828125</v>
      </c>
      <c r="O23" s="33" t="n">
        <f aca="false">MAX(0,(N23+IF(Eingaben!$C$14=3,Eingaben!$C$15,0))/Parameter!$C$57/Umrechnung!$C$8)</f>
        <v>56455.828125</v>
      </c>
      <c r="P23" s="33" t="n">
        <f aca="false">Parameter!$C$57*Umrechnung!$C$8*(IF(O23&lt;=Parameter!$C$18,0,IF(O23&lt;=Parameter!$C$19,(Parameter!$C$22*(O23-Parameter!$C$18)/10000+Parameter!$C$23)*(O23-Parameter!$C$18)/10000,IF(O23&lt;=Parameter!$C$20,(Parameter!$C$24*(O23-Parameter!$C$19)/10000+Parameter!$C$25)*(O23-Parameter!$C$19)/10000+Parameter!$C$26,IF(O23&lt;=Parameter!$C$21,0.42*O23-Parameter!$C$27,0.45*O23-Parameter!$C$28)))))</f>
        <v>12887.6321759096</v>
      </c>
      <c r="Q23" s="33" t="n">
        <f aca="false">P23+IF(P23&lt;=(Parameter!$C$30*Parameter!$C$57*Umrechnung!$C$8),0,MIN(Parameter!$C$29*P23,Parameter!$C$31*(P23-(Parameter!$C$30*Parameter!$C$57*Umrechnung!$C$8))))+Eingaben!$C$16*P23</f>
        <v>12887.6321759096</v>
      </c>
      <c r="R23" s="33" t="n">
        <f aca="false">E23-I23-(Umrechnung!$C$14-Q23)</f>
        <v>1934.30417450685</v>
      </c>
    </row>
    <row r="24" customFormat="false" ht="15" hidden="false" customHeight="false" outlineLevel="0" collapsed="false">
      <c r="B24" s="30" t="s">
        <v>442</v>
      </c>
      <c r="C24" s="31" t="n">
        <f aca="false">IF(R23&lt;Umrechnung!$C$9,E23,C23)</f>
        <v>3515.625</v>
      </c>
      <c r="D24" s="31" t="n">
        <f aca="false">IF(R23&lt;Umrechnung!$C$9,D23,E23)</f>
        <v>4687.5</v>
      </c>
      <c r="E24" s="31" t="n">
        <f aca="false">(C24+D24)/2</f>
        <v>4101.5625</v>
      </c>
      <c r="F24" s="31" t="n">
        <f aca="false">MIN(E24,Parameter!$C$43*Umrechnung!$C$6)</f>
        <v>4056</v>
      </c>
      <c r="G24" s="31" t="n">
        <f aca="false">MIN(Umrechnung!$C$5,Umrechnung!$C$6)-MIN(Umrechnung!$C$5-F24,Umrechnung!$C$6)</f>
        <v>4056</v>
      </c>
      <c r="H24" s="31" t="n">
        <f aca="false">MIN(Umrechnung!$C$5,Umrechnung!$C$7)-MIN(Umrechnung!$C$5-F24,Umrechnung!$C$7)</f>
        <v>0</v>
      </c>
      <c r="I24" s="31" t="n">
        <f aca="false">G24*(Parameter!$C$10+Parameter!$C$11)+H24*((Parameter!$C$12+Parameter!$C$13)/2+Parameter!$C$58)</f>
        <v>429.936</v>
      </c>
      <c r="J24" s="31" t="n">
        <f aca="false">G24*(Parameter!$C$10+Parameter!$C$11)+H24*((Parameter!$C$12+Parameter!$C$13)/2+Parameter!$C$15)</f>
        <v>429.936</v>
      </c>
      <c r="K24" s="31" t="n">
        <f aca="false">IF(Eingaben!$C$27=2,MIN(Eingaben!$C$26*E24,J24),Eingaben!$C$26*IF(Eingaben!$C$27=1,F24,E24))</f>
        <v>429.936</v>
      </c>
      <c r="L24" s="31" t="n">
        <f aca="false">MIN(E24,MAX(0,Parameter!$C$42*Umrechnung!$C$6-K24))</f>
        <v>4101.5625</v>
      </c>
      <c r="M24" s="31" t="n">
        <f aca="false">MIN(Umrechnung!$C$5-F24,Umrechnung!$C$6)*Parameter!$C$10+MIN(Umrechnung!$C$5-F24,Umrechnung!$C$7)*(0.96*(Parameter!$C$12+Parameter!$C$13)/2+Parameter!$C$58)</f>
        <v>13712.292</v>
      </c>
      <c r="N24" s="31" t="n">
        <f aca="false">MAX(0,Umrechnung!$C$5-L24-Parameter!$C$32-Parameter!$C$33-M24)</f>
        <v>55920.1455</v>
      </c>
      <c r="O24" s="31" t="n">
        <f aca="false">MAX(0,(N24+IF(Eingaben!$C$14=3,Eingaben!$C$15,0))/Parameter!$C$57/Umrechnung!$C$8)</f>
        <v>55920.1455</v>
      </c>
      <c r="P24" s="31" t="n">
        <f aca="false">Parameter!$C$57*Umrechnung!$C$8*(IF(O24&lt;=Parameter!$C$18,0,IF(O24&lt;=Parameter!$C$19,(Parameter!$C$22*(O24-Parameter!$C$18)/10000+Parameter!$C$23)*(O24-Parameter!$C$18)/10000,IF(O24&lt;=Parameter!$C$20,(Parameter!$C$24*(O24-Parameter!$C$19)/10000+Parameter!$C$25)*(O24-Parameter!$C$19)/10000+Parameter!$C$26,IF(O24&lt;=Parameter!$C$21,0.42*O24-Parameter!$C$27,0.45*O24-Parameter!$C$28)))))</f>
        <v>12688.0353983059</v>
      </c>
      <c r="Q24" s="31" t="n">
        <f aca="false">P24+IF(P24&lt;=(Parameter!$C$30*Parameter!$C$57*Umrechnung!$C$8),0,MIN(Parameter!$C$29*P24,Parameter!$C$31*(P24-(Parameter!$C$30*Parameter!$C$57*Umrechnung!$C$8))))+Eingaben!$C$16*P24</f>
        <v>12688.0353983059</v>
      </c>
      <c r="R24" s="31" t="n">
        <f aca="false">E24-I24-(Umrechnung!$C$14-Q24)</f>
        <v>2263.36514690313</v>
      </c>
    </row>
    <row r="25" customFormat="false" ht="15" hidden="false" customHeight="false" outlineLevel="0" collapsed="false">
      <c r="B25" s="32" t="s">
        <v>443</v>
      </c>
      <c r="C25" s="33" t="n">
        <f aca="false">IF(R24&lt;Umrechnung!$C$9,E24,C24)</f>
        <v>3515.625</v>
      </c>
      <c r="D25" s="33" t="n">
        <f aca="false">IF(R24&lt;Umrechnung!$C$9,D24,E24)</f>
        <v>4101.5625</v>
      </c>
      <c r="E25" s="33" t="n">
        <f aca="false">(C25+D25)/2</f>
        <v>3808.59375</v>
      </c>
      <c r="F25" s="33" t="n">
        <f aca="false">MIN(E25,Parameter!$C$43*Umrechnung!$C$6)</f>
        <v>3808.59375</v>
      </c>
      <c r="G25" s="33" t="n">
        <f aca="false">MIN(Umrechnung!$C$5,Umrechnung!$C$6)-MIN(Umrechnung!$C$5-F25,Umrechnung!$C$6)</f>
        <v>3808.59375</v>
      </c>
      <c r="H25" s="33" t="n">
        <f aca="false">MIN(Umrechnung!$C$5,Umrechnung!$C$7)-MIN(Umrechnung!$C$5-F25,Umrechnung!$C$7)</f>
        <v>0</v>
      </c>
      <c r="I25" s="33" t="n">
        <f aca="false">G25*(Parameter!$C$10+Parameter!$C$11)+H25*((Parameter!$C$12+Parameter!$C$13)/2+Parameter!$C$58)</f>
        <v>403.7109375</v>
      </c>
      <c r="J25" s="33" t="n">
        <f aca="false">G25*(Parameter!$C$10+Parameter!$C$11)+H25*((Parameter!$C$12+Parameter!$C$13)/2+Parameter!$C$15)</f>
        <v>403.7109375</v>
      </c>
      <c r="K25" s="33" t="n">
        <f aca="false">IF(Eingaben!$C$27=2,MIN(Eingaben!$C$26*E25,J25),Eingaben!$C$26*IF(Eingaben!$C$27=1,F25,E25))</f>
        <v>403.7109375</v>
      </c>
      <c r="L25" s="33" t="n">
        <f aca="false">MIN(E25,MAX(0,Parameter!$C$42*Umrechnung!$C$6-K25))</f>
        <v>3808.59375</v>
      </c>
      <c r="M25" s="33" t="n">
        <f aca="false">MIN(Umrechnung!$C$5-F25,Umrechnung!$C$6)*Parameter!$C$10+MIN(Umrechnung!$C$5-F25,Umrechnung!$C$7)*(0.96*(Parameter!$C$12+Parameter!$C$13)/2+Parameter!$C$58)</f>
        <v>13735.30078125</v>
      </c>
      <c r="N25" s="33" t="n">
        <f aca="false">MAX(0,Umrechnung!$C$5-L25-Parameter!$C$32-Parameter!$C$33-M25)</f>
        <v>56190.10546875</v>
      </c>
      <c r="O25" s="33" t="n">
        <f aca="false">MAX(0,(N25+IF(Eingaben!$C$14=3,Eingaben!$C$15,0))/Parameter!$C$57/Umrechnung!$C$8)</f>
        <v>56190.10546875</v>
      </c>
      <c r="P25" s="33" t="n">
        <f aca="false">Parameter!$C$57*Umrechnung!$C$8*(IF(O25&lt;=Parameter!$C$18,0,IF(O25&lt;=Parameter!$C$19,(Parameter!$C$22*(O25-Parameter!$C$18)/10000+Parameter!$C$23)*(O25-Parameter!$C$18)/10000,IF(O25&lt;=Parameter!$C$20,(Parameter!$C$24*(O25-Parameter!$C$19)/10000+Parameter!$C$25)*(O25-Parameter!$C$19)/10000+Parameter!$C$26,IF(O25&lt;=Parameter!$C$21,0.42*O25-Parameter!$C$27,0.45*O25-Parameter!$C$28)))))</f>
        <v>12788.4990317034</v>
      </c>
      <c r="Q25" s="33" t="n">
        <f aca="false">P25+IF(P25&lt;=(Parameter!$C$30*Parameter!$C$57*Umrechnung!$C$8),0,MIN(Parameter!$C$29*P25,Parameter!$C$31*(P25-(Parameter!$C$30*Parameter!$C$57*Umrechnung!$C$8))))+Eingaben!$C$16*P25</f>
        <v>12788.4990317034</v>
      </c>
      <c r="R25" s="33" t="n">
        <f aca="false">E25-I25-(Umrechnung!$C$14-Q25)</f>
        <v>2097.08509280068</v>
      </c>
    </row>
    <row r="26" customFormat="false" ht="15" hidden="false" customHeight="false" outlineLevel="0" collapsed="false">
      <c r="B26" s="30" t="s">
        <v>444</v>
      </c>
      <c r="C26" s="31" t="n">
        <f aca="false">IF(R25&lt;Umrechnung!$C$9,E25,C25)</f>
        <v>3515.625</v>
      </c>
      <c r="D26" s="31" t="n">
        <f aca="false">IF(R25&lt;Umrechnung!$C$9,D25,E25)</f>
        <v>3808.59375</v>
      </c>
      <c r="E26" s="31" t="n">
        <f aca="false">(C26+D26)/2</f>
        <v>3662.109375</v>
      </c>
      <c r="F26" s="31" t="n">
        <f aca="false">MIN(E26,Parameter!$C$43*Umrechnung!$C$6)</f>
        <v>3662.109375</v>
      </c>
      <c r="G26" s="31" t="n">
        <f aca="false">MIN(Umrechnung!$C$5,Umrechnung!$C$6)-MIN(Umrechnung!$C$5-F26,Umrechnung!$C$6)</f>
        <v>3662.109375</v>
      </c>
      <c r="H26" s="31" t="n">
        <f aca="false">MIN(Umrechnung!$C$5,Umrechnung!$C$7)-MIN(Umrechnung!$C$5-F26,Umrechnung!$C$7)</f>
        <v>0</v>
      </c>
      <c r="I26" s="31" t="n">
        <f aca="false">G26*(Parameter!$C$10+Parameter!$C$11)+H26*((Parameter!$C$12+Parameter!$C$13)/2+Parameter!$C$58)</f>
        <v>388.18359375</v>
      </c>
      <c r="J26" s="31" t="n">
        <f aca="false">G26*(Parameter!$C$10+Parameter!$C$11)+H26*((Parameter!$C$12+Parameter!$C$13)/2+Parameter!$C$15)</f>
        <v>388.18359375</v>
      </c>
      <c r="K26" s="31" t="n">
        <f aca="false">IF(Eingaben!$C$27=2,MIN(Eingaben!$C$26*E26,J26),Eingaben!$C$26*IF(Eingaben!$C$27=1,F26,E26))</f>
        <v>388.18359375</v>
      </c>
      <c r="L26" s="31" t="n">
        <f aca="false">MIN(E26,MAX(0,Parameter!$C$42*Umrechnung!$C$6-K26))</f>
        <v>3662.109375</v>
      </c>
      <c r="M26" s="31" t="n">
        <f aca="false">MIN(Umrechnung!$C$5-F26,Umrechnung!$C$6)*Parameter!$C$10+MIN(Umrechnung!$C$5-F26,Umrechnung!$C$7)*(0.96*(Parameter!$C$12+Parameter!$C$13)/2+Parameter!$C$58)</f>
        <v>13748.923828125</v>
      </c>
      <c r="N26" s="31" t="n">
        <f aca="false">MAX(0,Umrechnung!$C$5-L26-Parameter!$C$32-Parameter!$C$33-M26)</f>
        <v>56322.966796875</v>
      </c>
      <c r="O26" s="31" t="n">
        <f aca="false">MAX(0,(N26+IF(Eingaben!$C$14=3,Eingaben!$C$15,0))/Parameter!$C$57/Umrechnung!$C$8)</f>
        <v>56322.966796875</v>
      </c>
      <c r="P26" s="31" t="n">
        <f aca="false">Parameter!$C$57*Umrechnung!$C$8*(IF(O26&lt;=Parameter!$C$18,0,IF(O26&lt;=Parameter!$C$19,(Parameter!$C$22*(O26-Parameter!$C$18)/10000+Parameter!$C$23)*(O26-Parameter!$C$18)/10000,IF(O26&lt;=Parameter!$C$20,(Parameter!$C$24*(O26-Parameter!$C$19)/10000+Parameter!$C$25)*(O26-Parameter!$C$19)/10000+Parameter!$C$26,IF(O26&lt;=Parameter!$C$21,0.42*O26-Parameter!$C$27,0.45*O26-Parameter!$C$28)))))</f>
        <v>12838.0350479651</v>
      </c>
      <c r="Q26" s="31" t="n">
        <f aca="false">P26+IF(P26&lt;=(Parameter!$C$30*Parameter!$C$57*Umrechnung!$C$8),0,MIN(Parameter!$C$29*P26,Parameter!$C$31*(P26-(Parameter!$C$30*Parameter!$C$57*Umrechnung!$C$8))))+Eingaben!$C$16*P26</f>
        <v>12838.0350479651</v>
      </c>
      <c r="R26" s="31" t="n">
        <f aca="false">E26-I26-(Umrechnung!$C$14-Q26)</f>
        <v>2015.66407781239</v>
      </c>
    </row>
    <row r="27" customFormat="false" ht="15" hidden="false" customHeight="false" outlineLevel="0" collapsed="false">
      <c r="B27" s="32" t="s">
        <v>445</v>
      </c>
      <c r="C27" s="33" t="n">
        <f aca="false">IF(R26&lt;Umrechnung!$C$9,E26,C26)</f>
        <v>3515.625</v>
      </c>
      <c r="D27" s="33" t="n">
        <f aca="false">IF(R26&lt;Umrechnung!$C$9,D26,E26)</f>
        <v>3662.109375</v>
      </c>
      <c r="E27" s="33" t="n">
        <f aca="false">(C27+D27)/2</f>
        <v>3588.8671875</v>
      </c>
      <c r="F27" s="33" t="n">
        <f aca="false">MIN(E27,Parameter!$C$43*Umrechnung!$C$6)</f>
        <v>3588.8671875</v>
      </c>
      <c r="G27" s="33" t="n">
        <f aca="false">MIN(Umrechnung!$C$5,Umrechnung!$C$6)-MIN(Umrechnung!$C$5-F27,Umrechnung!$C$6)</f>
        <v>3588.8671875</v>
      </c>
      <c r="H27" s="33" t="n">
        <f aca="false">MIN(Umrechnung!$C$5,Umrechnung!$C$7)-MIN(Umrechnung!$C$5-F27,Umrechnung!$C$7)</f>
        <v>0</v>
      </c>
      <c r="I27" s="33" t="n">
        <f aca="false">G27*(Parameter!$C$10+Parameter!$C$11)+H27*((Parameter!$C$12+Parameter!$C$13)/2+Parameter!$C$58)</f>
        <v>380.419921875</v>
      </c>
      <c r="J27" s="33" t="n">
        <f aca="false">G27*(Parameter!$C$10+Parameter!$C$11)+H27*((Parameter!$C$12+Parameter!$C$13)/2+Parameter!$C$15)</f>
        <v>380.419921875</v>
      </c>
      <c r="K27" s="33" t="n">
        <f aca="false">IF(Eingaben!$C$27=2,MIN(Eingaben!$C$26*E27,J27),Eingaben!$C$26*IF(Eingaben!$C$27=1,F27,E27))</f>
        <v>380.419921875</v>
      </c>
      <c r="L27" s="33" t="n">
        <f aca="false">MIN(E27,MAX(0,Parameter!$C$42*Umrechnung!$C$6-K27))</f>
        <v>3588.8671875</v>
      </c>
      <c r="M27" s="33" t="n">
        <f aca="false">MIN(Umrechnung!$C$5-F27,Umrechnung!$C$6)*Parameter!$C$10+MIN(Umrechnung!$C$5-F27,Umrechnung!$C$7)*(0.96*(Parameter!$C$12+Parameter!$C$13)/2+Parameter!$C$58)</f>
        <v>13755.7353515625</v>
      </c>
      <c r="N27" s="33" t="n">
        <f aca="false">MAX(0,Umrechnung!$C$5-L27-Parameter!$C$32-Parameter!$C$33-M27)</f>
        <v>56389.3974609375</v>
      </c>
      <c r="O27" s="33" t="n">
        <f aca="false">MAX(0,(N27+IF(Eingaben!$C$14=3,Eingaben!$C$15,0))/Parameter!$C$57/Umrechnung!$C$8)</f>
        <v>56389.3974609375</v>
      </c>
      <c r="P27" s="33" t="n">
        <f aca="false">Parameter!$C$57*Umrechnung!$C$8*(IF(O27&lt;=Parameter!$C$18,0,IF(O27&lt;=Parameter!$C$19,(Parameter!$C$22*(O27-Parameter!$C$18)/10000+Parameter!$C$23)*(O27-Parameter!$C$18)/10000,IF(O27&lt;=Parameter!$C$20,(Parameter!$C$24*(O27-Parameter!$C$19)/10000+Parameter!$C$25)*(O27-Parameter!$C$19)/10000+Parameter!$C$26,IF(O27&lt;=Parameter!$C$21,0.42*O27-Parameter!$C$27,0.45*O27-Parameter!$C$28)))))</f>
        <v>12862.825972977</v>
      </c>
      <c r="Q27" s="33" t="n">
        <f aca="false">P27+IF(P27&lt;=(Parameter!$C$30*Parameter!$C$57*Umrechnung!$C$8),0,MIN(Parameter!$C$29*P27,Parameter!$C$31*(P27-(Parameter!$C$30*Parameter!$C$57*Umrechnung!$C$8))))+Eingaben!$C$16*P27</f>
        <v>12862.825972977</v>
      </c>
      <c r="R27" s="33" t="n">
        <f aca="false">E27-I27-(Umrechnung!$C$14-Q27)</f>
        <v>1974.97648719928</v>
      </c>
    </row>
    <row r="28" customFormat="false" ht="15" hidden="false" customHeight="false" outlineLevel="0" collapsed="false">
      <c r="B28" s="30" t="s">
        <v>446</v>
      </c>
      <c r="C28" s="31" t="n">
        <f aca="false">IF(R27&lt;Umrechnung!$C$9,E27,C27)</f>
        <v>3588.8671875</v>
      </c>
      <c r="D28" s="31" t="n">
        <f aca="false">IF(R27&lt;Umrechnung!$C$9,D27,E27)</f>
        <v>3662.109375</v>
      </c>
      <c r="E28" s="31" t="n">
        <f aca="false">(C28+D28)/2</f>
        <v>3625.48828125</v>
      </c>
      <c r="F28" s="31" t="n">
        <f aca="false">MIN(E28,Parameter!$C$43*Umrechnung!$C$6)</f>
        <v>3625.48828125</v>
      </c>
      <c r="G28" s="31" t="n">
        <f aca="false">MIN(Umrechnung!$C$5,Umrechnung!$C$6)-MIN(Umrechnung!$C$5-F28,Umrechnung!$C$6)</f>
        <v>3625.48828125</v>
      </c>
      <c r="H28" s="31" t="n">
        <f aca="false">MIN(Umrechnung!$C$5,Umrechnung!$C$7)-MIN(Umrechnung!$C$5-F28,Umrechnung!$C$7)</f>
        <v>0</v>
      </c>
      <c r="I28" s="31" t="n">
        <f aca="false">G28*(Parameter!$C$10+Parameter!$C$11)+H28*((Parameter!$C$12+Parameter!$C$13)/2+Parameter!$C$58)</f>
        <v>384.3017578125</v>
      </c>
      <c r="J28" s="31" t="n">
        <f aca="false">G28*(Parameter!$C$10+Parameter!$C$11)+H28*((Parameter!$C$12+Parameter!$C$13)/2+Parameter!$C$15)</f>
        <v>384.3017578125</v>
      </c>
      <c r="K28" s="31" t="n">
        <f aca="false">IF(Eingaben!$C$27=2,MIN(Eingaben!$C$26*E28,J28),Eingaben!$C$26*IF(Eingaben!$C$27=1,F28,E28))</f>
        <v>384.3017578125</v>
      </c>
      <c r="L28" s="31" t="n">
        <f aca="false">MIN(E28,MAX(0,Parameter!$C$42*Umrechnung!$C$6-K28))</f>
        <v>3625.48828125</v>
      </c>
      <c r="M28" s="31" t="n">
        <f aca="false">MIN(Umrechnung!$C$5-F28,Umrechnung!$C$6)*Parameter!$C$10+MIN(Umrechnung!$C$5-F28,Umrechnung!$C$7)*(0.96*(Parameter!$C$12+Parameter!$C$13)/2+Parameter!$C$58)</f>
        <v>13752.3295898438</v>
      </c>
      <c r="N28" s="31" t="n">
        <f aca="false">MAX(0,Umrechnung!$C$5-L28-Parameter!$C$32-Parameter!$C$33-M28)</f>
        <v>56356.1821289063</v>
      </c>
      <c r="O28" s="31" t="n">
        <f aca="false">MAX(0,(N28+IF(Eingaben!$C$14=3,Eingaben!$C$15,0))/Parameter!$C$57/Umrechnung!$C$8)</f>
        <v>56356.1821289063</v>
      </c>
      <c r="P28" s="31" t="n">
        <f aca="false">Parameter!$C$57*Umrechnung!$C$8*(IF(O28&lt;=Parameter!$C$18,0,IF(O28&lt;=Parameter!$C$19,(Parameter!$C$22*(O28-Parameter!$C$18)/10000+Parameter!$C$23)*(O28-Parameter!$C$18)/10000,IF(O28&lt;=Parameter!$C$20,(Parameter!$C$24*(O28-Parameter!$C$19)/10000+Parameter!$C$25)*(O28-Parameter!$C$19)/10000+Parameter!$C$26,IF(O28&lt;=Parameter!$C$21,0.42*O28-Parameter!$C$27,0.45*O28-Parameter!$C$28)))))</f>
        <v>12850.428600731</v>
      </c>
      <c r="Q28" s="31" t="n">
        <f aca="false">P28+IF(P28&lt;=(Parameter!$C$30*Parameter!$C$57*Umrechnung!$C$8),0,MIN(Parameter!$C$29*P28,Parameter!$C$31*(P28-(Parameter!$C$30*Parameter!$C$57*Umrechnung!$C$8))))+Eingaben!$C$16*P28</f>
        <v>12850.428600731</v>
      </c>
      <c r="R28" s="31" t="n">
        <f aca="false">E28-I28-(Umrechnung!$C$14-Q28)</f>
        <v>1995.31837276575</v>
      </c>
    </row>
    <row r="29" customFormat="false" ht="15" hidden="false" customHeight="false" outlineLevel="0" collapsed="false">
      <c r="B29" s="32" t="s">
        <v>447</v>
      </c>
      <c r="C29" s="33" t="n">
        <f aca="false">IF(R28&lt;Umrechnung!$C$9,E28,C28)</f>
        <v>3588.8671875</v>
      </c>
      <c r="D29" s="33" t="n">
        <f aca="false">IF(R28&lt;Umrechnung!$C$9,D28,E28)</f>
        <v>3625.48828125</v>
      </c>
      <c r="E29" s="33" t="n">
        <f aca="false">(C29+D29)/2</f>
        <v>3607.177734375</v>
      </c>
      <c r="F29" s="33" t="n">
        <f aca="false">MIN(E29,Parameter!$C$43*Umrechnung!$C$6)</f>
        <v>3607.177734375</v>
      </c>
      <c r="G29" s="33" t="n">
        <f aca="false">MIN(Umrechnung!$C$5,Umrechnung!$C$6)-MIN(Umrechnung!$C$5-F29,Umrechnung!$C$6)</f>
        <v>3607.177734375</v>
      </c>
      <c r="H29" s="33" t="n">
        <f aca="false">MIN(Umrechnung!$C$5,Umrechnung!$C$7)-MIN(Umrechnung!$C$5-F29,Umrechnung!$C$7)</f>
        <v>0</v>
      </c>
      <c r="I29" s="33" t="n">
        <f aca="false">G29*(Parameter!$C$10+Parameter!$C$11)+H29*((Parameter!$C$12+Parameter!$C$13)/2+Parameter!$C$58)</f>
        <v>382.36083984375</v>
      </c>
      <c r="J29" s="33" t="n">
        <f aca="false">G29*(Parameter!$C$10+Parameter!$C$11)+H29*((Parameter!$C$12+Parameter!$C$13)/2+Parameter!$C$15)</f>
        <v>382.36083984375</v>
      </c>
      <c r="K29" s="33" t="n">
        <f aca="false">IF(Eingaben!$C$27=2,MIN(Eingaben!$C$26*E29,J29),Eingaben!$C$26*IF(Eingaben!$C$27=1,F29,E29))</f>
        <v>382.36083984375</v>
      </c>
      <c r="L29" s="33" t="n">
        <f aca="false">MIN(E29,MAX(0,Parameter!$C$42*Umrechnung!$C$6-K29))</f>
        <v>3607.177734375</v>
      </c>
      <c r="M29" s="33" t="n">
        <f aca="false">MIN(Umrechnung!$C$5-F29,Umrechnung!$C$6)*Parameter!$C$10+MIN(Umrechnung!$C$5-F29,Umrechnung!$C$7)*(0.96*(Parameter!$C$12+Parameter!$C$13)/2+Parameter!$C$58)</f>
        <v>13754.0324707031</v>
      </c>
      <c r="N29" s="33" t="n">
        <f aca="false">MAX(0,Umrechnung!$C$5-L29-Parameter!$C$32-Parameter!$C$33-M29)</f>
        <v>56372.7897949219</v>
      </c>
      <c r="O29" s="33" t="n">
        <f aca="false">MAX(0,(N29+IF(Eingaben!$C$14=3,Eingaben!$C$15,0))/Parameter!$C$57/Umrechnung!$C$8)</f>
        <v>56372.7897949219</v>
      </c>
      <c r="P29" s="33" t="n">
        <f aca="false">Parameter!$C$57*Umrechnung!$C$8*(IF(O29&lt;=Parameter!$C$18,0,IF(O29&lt;=Parameter!$C$19,(Parameter!$C$22*(O29-Parameter!$C$18)/10000+Parameter!$C$23)*(O29-Parameter!$C$18)/10000,IF(O29&lt;=Parameter!$C$20,(Parameter!$C$24*(O29-Parameter!$C$19)/10000+Parameter!$C$25)*(O29-Parameter!$C$19)/10000+Parameter!$C$26,IF(O29&lt;=Parameter!$C$21,0.42*O29-Parameter!$C$27,0.45*O29-Parameter!$C$28)))))</f>
        <v>12856.626809419</v>
      </c>
      <c r="Q29" s="33" t="n">
        <f aca="false">P29+IF(P29&lt;=(Parameter!$C$30*Parameter!$C$57*Umrechnung!$C$8),0,MIN(Parameter!$C$29*P29,Parameter!$C$31*(P29-(Parameter!$C$30*Parameter!$C$57*Umrechnung!$C$8))))+Eingaben!$C$16*P29</f>
        <v>12856.626809419</v>
      </c>
      <c r="R29" s="33" t="n">
        <f aca="false">E29-I29-(Umrechnung!$C$14-Q29)</f>
        <v>1985.14695254749</v>
      </c>
    </row>
    <row r="30" customFormat="false" ht="15" hidden="false" customHeight="false" outlineLevel="0" collapsed="false">
      <c r="B30" s="30" t="s">
        <v>448</v>
      </c>
      <c r="C30" s="31" t="n">
        <f aca="false">IF(R29&lt;Umrechnung!$C$9,E29,C29)</f>
        <v>3588.8671875</v>
      </c>
      <c r="D30" s="31" t="n">
        <f aca="false">IF(R29&lt;Umrechnung!$C$9,D29,E29)</f>
        <v>3607.177734375</v>
      </c>
      <c r="E30" s="31" t="n">
        <f aca="false">(C30+D30)/2</f>
        <v>3598.0224609375</v>
      </c>
      <c r="F30" s="31" t="n">
        <f aca="false">MIN(E30,Parameter!$C$43*Umrechnung!$C$6)</f>
        <v>3598.0224609375</v>
      </c>
      <c r="G30" s="31" t="n">
        <f aca="false">MIN(Umrechnung!$C$5,Umrechnung!$C$6)-MIN(Umrechnung!$C$5-F30,Umrechnung!$C$6)</f>
        <v>3598.0224609375</v>
      </c>
      <c r="H30" s="31" t="n">
        <f aca="false">MIN(Umrechnung!$C$5,Umrechnung!$C$7)-MIN(Umrechnung!$C$5-F30,Umrechnung!$C$7)</f>
        <v>0</v>
      </c>
      <c r="I30" s="31" t="n">
        <f aca="false">G30*(Parameter!$C$10+Parameter!$C$11)+H30*((Parameter!$C$12+Parameter!$C$13)/2+Parameter!$C$58)</f>
        <v>381.390380859375</v>
      </c>
      <c r="J30" s="31" t="n">
        <f aca="false">G30*(Parameter!$C$10+Parameter!$C$11)+H30*((Parameter!$C$12+Parameter!$C$13)/2+Parameter!$C$15)</f>
        <v>381.390380859375</v>
      </c>
      <c r="K30" s="31" t="n">
        <f aca="false">IF(Eingaben!$C$27=2,MIN(Eingaben!$C$26*E30,J30),Eingaben!$C$26*IF(Eingaben!$C$27=1,F30,E30))</f>
        <v>381.390380859375</v>
      </c>
      <c r="L30" s="31" t="n">
        <f aca="false">MIN(E30,MAX(0,Parameter!$C$42*Umrechnung!$C$6-K30))</f>
        <v>3598.0224609375</v>
      </c>
      <c r="M30" s="31" t="n">
        <f aca="false">MIN(Umrechnung!$C$5-F30,Umrechnung!$C$6)*Parameter!$C$10+MIN(Umrechnung!$C$5-F30,Umrechnung!$C$7)*(0.96*(Parameter!$C$12+Parameter!$C$13)/2+Parameter!$C$58)</f>
        <v>13754.8839111328</v>
      </c>
      <c r="N30" s="31" t="n">
        <f aca="false">MAX(0,Umrechnung!$C$5-L30-Parameter!$C$32-Parameter!$C$33-M30)</f>
        <v>56381.0936279297</v>
      </c>
      <c r="O30" s="31" t="n">
        <f aca="false">MAX(0,(N30+IF(Eingaben!$C$14=3,Eingaben!$C$15,0))/Parameter!$C$57/Umrechnung!$C$8)</f>
        <v>56381.0936279297</v>
      </c>
      <c r="P30" s="31" t="n">
        <f aca="false">Parameter!$C$57*Umrechnung!$C$8*(IF(O30&lt;=Parameter!$C$18,0,IF(O30&lt;=Parameter!$C$19,(Parameter!$C$22*(O30-Parameter!$C$18)/10000+Parameter!$C$23)*(O30-Parameter!$C$18)/10000,IF(O30&lt;=Parameter!$C$20,(Parameter!$C$24*(O30-Parameter!$C$19)/10000+Parameter!$C$25)*(O30-Parameter!$C$19)/10000+Parameter!$C$26,IF(O30&lt;=Parameter!$C$21,0.42*O30-Parameter!$C$27,0.45*O30-Parameter!$C$28)))))</f>
        <v>12859.7262718393</v>
      </c>
      <c r="Q30" s="31" t="n">
        <f aca="false">P30+IF(P30&lt;=(Parameter!$C$30*Parameter!$C$57*Umrechnung!$C$8),0,MIN(Parameter!$C$29*P30,Parameter!$C$31*(P30-(Parameter!$C$30*Parameter!$C$57*Umrechnung!$C$8))))+Eingaben!$C$16*P30</f>
        <v>12859.7262718393</v>
      </c>
      <c r="R30" s="31" t="n">
        <f aca="false">E30-I30-(Umrechnung!$C$14-Q30)</f>
        <v>1980.06160051463</v>
      </c>
    </row>
    <row r="31" customFormat="false" ht="15" hidden="false" customHeight="false" outlineLevel="0" collapsed="false">
      <c r="B31" s="32" t="s">
        <v>449</v>
      </c>
      <c r="C31" s="33" t="n">
        <f aca="false">IF(R30&lt;Umrechnung!$C$9,E30,C30)</f>
        <v>3588.8671875</v>
      </c>
      <c r="D31" s="33" t="n">
        <f aca="false">IF(R30&lt;Umrechnung!$C$9,D30,E30)</f>
        <v>3598.0224609375</v>
      </c>
      <c r="E31" s="33" t="n">
        <f aca="false">(C31+D31)/2</f>
        <v>3593.44482421875</v>
      </c>
      <c r="F31" s="33" t="n">
        <f aca="false">MIN(E31,Parameter!$C$43*Umrechnung!$C$6)</f>
        <v>3593.44482421875</v>
      </c>
      <c r="G31" s="33" t="n">
        <f aca="false">MIN(Umrechnung!$C$5,Umrechnung!$C$6)-MIN(Umrechnung!$C$5-F31,Umrechnung!$C$6)</f>
        <v>3593.44482421875</v>
      </c>
      <c r="H31" s="33" t="n">
        <f aca="false">MIN(Umrechnung!$C$5,Umrechnung!$C$7)-MIN(Umrechnung!$C$5-F31,Umrechnung!$C$7)</f>
        <v>0</v>
      </c>
      <c r="I31" s="33" t="n">
        <f aca="false">G31*(Parameter!$C$10+Parameter!$C$11)+H31*((Parameter!$C$12+Parameter!$C$13)/2+Parameter!$C$58)</f>
        <v>380.905151367188</v>
      </c>
      <c r="J31" s="33" t="n">
        <f aca="false">G31*(Parameter!$C$10+Parameter!$C$11)+H31*((Parameter!$C$12+Parameter!$C$13)/2+Parameter!$C$15)</f>
        <v>380.905151367188</v>
      </c>
      <c r="K31" s="33" t="n">
        <f aca="false">IF(Eingaben!$C$27=2,MIN(Eingaben!$C$26*E31,J31),Eingaben!$C$26*IF(Eingaben!$C$27=1,F31,E31))</f>
        <v>380.905151367188</v>
      </c>
      <c r="L31" s="33" t="n">
        <f aca="false">MIN(E31,MAX(0,Parameter!$C$42*Umrechnung!$C$6-K31))</f>
        <v>3593.44482421875</v>
      </c>
      <c r="M31" s="33" t="n">
        <f aca="false">MIN(Umrechnung!$C$5-F31,Umrechnung!$C$6)*Parameter!$C$10+MIN(Umrechnung!$C$5-F31,Umrechnung!$C$7)*(0.96*(Parameter!$C$12+Parameter!$C$13)/2+Parameter!$C$58)</f>
        <v>13755.3096313477</v>
      </c>
      <c r="N31" s="33" t="n">
        <f aca="false">MAX(0,Umrechnung!$C$5-L31-Parameter!$C$32-Parameter!$C$33-M31)</f>
        <v>56385.2455444336</v>
      </c>
      <c r="O31" s="33" t="n">
        <f aca="false">MAX(0,(N31+IF(Eingaben!$C$14=3,Eingaben!$C$15,0))/Parameter!$C$57/Umrechnung!$C$8)</f>
        <v>56385.2455444336</v>
      </c>
      <c r="P31" s="33" t="n">
        <f aca="false">Parameter!$C$57*Umrechnung!$C$8*(IF(O31&lt;=Parameter!$C$18,0,IF(O31&lt;=Parameter!$C$19,(Parameter!$C$22*(O31-Parameter!$C$18)/10000+Parameter!$C$23)*(O31-Parameter!$C$18)/10000,IF(O31&lt;=Parameter!$C$20,(Parameter!$C$24*(O31-Parameter!$C$19)/10000+Parameter!$C$25)*(O31-Parameter!$C$19)/10000+Parameter!$C$26,IF(O31&lt;=Parameter!$C$21,0.42*O31-Parameter!$C$27,0.45*O31-Parameter!$C$28)))))</f>
        <v>12861.2760925685</v>
      </c>
      <c r="Q31" s="33" t="n">
        <f aca="false">P31+IF(P31&lt;=(Parameter!$C$30*Parameter!$C$57*Umrechnung!$C$8),0,MIN(Parameter!$C$29*P31,Parameter!$C$31*(P31-(Parameter!$C$30*Parameter!$C$57*Umrechnung!$C$8))))+Eingaben!$C$16*P31</f>
        <v>12861.2760925685</v>
      </c>
      <c r="R31" s="33" t="n">
        <f aca="false">E31-I31-(Umrechnung!$C$14-Q31)</f>
        <v>1977.51901401726</v>
      </c>
    </row>
    <row r="32" customFormat="false" ht="15" hidden="false" customHeight="false" outlineLevel="0" collapsed="false">
      <c r="B32" s="30" t="s">
        <v>450</v>
      </c>
      <c r="C32" s="31" t="n">
        <f aca="false">IF(R31&lt;Umrechnung!$C$9,E31,C31)</f>
        <v>3593.44482421875</v>
      </c>
      <c r="D32" s="31" t="n">
        <f aca="false">IF(R31&lt;Umrechnung!$C$9,D31,E31)</f>
        <v>3598.0224609375</v>
      </c>
      <c r="E32" s="31" t="n">
        <f aca="false">(C32+D32)/2</f>
        <v>3595.73364257813</v>
      </c>
      <c r="F32" s="31" t="n">
        <f aca="false">MIN(E32,Parameter!$C$43*Umrechnung!$C$6)</f>
        <v>3595.73364257813</v>
      </c>
      <c r="G32" s="31" t="n">
        <f aca="false">MIN(Umrechnung!$C$5,Umrechnung!$C$6)-MIN(Umrechnung!$C$5-F32,Umrechnung!$C$6)</f>
        <v>3595.73364257813</v>
      </c>
      <c r="H32" s="31" t="n">
        <f aca="false">MIN(Umrechnung!$C$5,Umrechnung!$C$7)-MIN(Umrechnung!$C$5-F32,Umrechnung!$C$7)</f>
        <v>0</v>
      </c>
      <c r="I32" s="31" t="n">
        <f aca="false">G32*(Parameter!$C$10+Parameter!$C$11)+H32*((Parameter!$C$12+Parameter!$C$13)/2+Parameter!$C$58)</f>
        <v>381.147766113281</v>
      </c>
      <c r="J32" s="31" t="n">
        <f aca="false">G32*(Parameter!$C$10+Parameter!$C$11)+H32*((Parameter!$C$12+Parameter!$C$13)/2+Parameter!$C$15)</f>
        <v>381.147766113281</v>
      </c>
      <c r="K32" s="31" t="n">
        <f aca="false">IF(Eingaben!$C$27=2,MIN(Eingaben!$C$26*E32,J32),Eingaben!$C$26*IF(Eingaben!$C$27=1,F32,E32))</f>
        <v>381.147766113281</v>
      </c>
      <c r="L32" s="31" t="n">
        <f aca="false">MIN(E32,MAX(0,Parameter!$C$42*Umrechnung!$C$6-K32))</f>
        <v>3595.73364257813</v>
      </c>
      <c r="M32" s="31" t="n">
        <f aca="false">MIN(Umrechnung!$C$5-F32,Umrechnung!$C$6)*Parameter!$C$10+MIN(Umrechnung!$C$5-F32,Umrechnung!$C$7)*(0.96*(Parameter!$C$12+Parameter!$C$13)/2+Parameter!$C$58)</f>
        <v>13755.0967712402</v>
      </c>
      <c r="N32" s="31" t="n">
        <f aca="false">MAX(0,Umrechnung!$C$5-L32-Parameter!$C$32-Parameter!$C$33-M32)</f>
        <v>56383.1695861816</v>
      </c>
      <c r="O32" s="31" t="n">
        <f aca="false">MAX(0,(N32+IF(Eingaben!$C$14=3,Eingaben!$C$15,0))/Parameter!$C$57/Umrechnung!$C$8)</f>
        <v>56383.1695861816</v>
      </c>
      <c r="P32" s="31" t="n">
        <f aca="false">Parameter!$C$57*Umrechnung!$C$8*(IF(O32&lt;=Parameter!$C$18,0,IF(O32&lt;=Parameter!$C$19,(Parameter!$C$22*(O32-Parameter!$C$18)/10000+Parameter!$C$23)*(O32-Parameter!$C$18)/10000,IF(O32&lt;=Parameter!$C$20,(Parameter!$C$24*(O32-Parameter!$C$19)/10000+Parameter!$C$25)*(O32-Parameter!$C$19)/10000+Parameter!$C$26,IF(O32&lt;=Parameter!$C$21,0.42*O32-Parameter!$C$27,0.45*O32-Parameter!$C$28)))))</f>
        <v>12860.5011747439</v>
      </c>
      <c r="Q32" s="31" t="n">
        <f aca="false">P32+IF(P32&lt;=(Parameter!$C$30*Parameter!$C$57*Umrechnung!$C$8),0,MIN(Parameter!$C$29*P32,Parameter!$C$31*(P32-(Parameter!$C$30*Parameter!$C$57*Umrechnung!$C$8))))+Eingaben!$C$16*P32</f>
        <v>12860.5011747439</v>
      </c>
      <c r="R32" s="31" t="n">
        <f aca="false">E32-I32-(Umrechnung!$C$14-Q32)</f>
        <v>1978.79029980602</v>
      </c>
    </row>
    <row r="33" customFormat="false" ht="15" hidden="false" customHeight="false" outlineLevel="0" collapsed="false">
      <c r="B33" s="32" t="s">
        <v>451</v>
      </c>
      <c r="C33" s="33" t="n">
        <f aca="false">IF(R32&lt;Umrechnung!$C$9,E32,C32)</f>
        <v>3595.73364257813</v>
      </c>
      <c r="D33" s="33" t="n">
        <f aca="false">IF(R32&lt;Umrechnung!$C$9,D32,E32)</f>
        <v>3598.0224609375</v>
      </c>
      <c r="E33" s="33" t="n">
        <f aca="false">(C33+D33)/2</f>
        <v>3596.87805175781</v>
      </c>
      <c r="F33" s="33" t="n">
        <f aca="false">MIN(E33,Parameter!$C$43*Umrechnung!$C$6)</f>
        <v>3596.87805175781</v>
      </c>
      <c r="G33" s="33" t="n">
        <f aca="false">MIN(Umrechnung!$C$5,Umrechnung!$C$6)-MIN(Umrechnung!$C$5-F33,Umrechnung!$C$6)</f>
        <v>3596.87805175781</v>
      </c>
      <c r="H33" s="33" t="n">
        <f aca="false">MIN(Umrechnung!$C$5,Umrechnung!$C$7)-MIN(Umrechnung!$C$5-F33,Umrechnung!$C$7)</f>
        <v>0</v>
      </c>
      <c r="I33" s="33" t="n">
        <f aca="false">G33*(Parameter!$C$10+Parameter!$C$11)+H33*((Parameter!$C$12+Parameter!$C$13)/2+Parameter!$C$58)</f>
        <v>381.269073486328</v>
      </c>
      <c r="J33" s="33" t="n">
        <f aca="false">G33*(Parameter!$C$10+Parameter!$C$11)+H33*((Parameter!$C$12+Parameter!$C$13)/2+Parameter!$C$15)</f>
        <v>381.269073486328</v>
      </c>
      <c r="K33" s="33" t="n">
        <f aca="false">IF(Eingaben!$C$27=2,MIN(Eingaben!$C$26*E33,J33),Eingaben!$C$26*IF(Eingaben!$C$27=1,F33,E33))</f>
        <v>381.269073486328</v>
      </c>
      <c r="L33" s="33" t="n">
        <f aca="false">MIN(E33,MAX(0,Parameter!$C$42*Umrechnung!$C$6-K33))</f>
        <v>3596.87805175781</v>
      </c>
      <c r="M33" s="33" t="n">
        <f aca="false">MIN(Umrechnung!$C$5-F33,Umrechnung!$C$6)*Parameter!$C$10+MIN(Umrechnung!$C$5-F33,Umrechnung!$C$7)*(0.96*(Parameter!$C$12+Parameter!$C$13)/2+Parameter!$C$58)</f>
        <v>13754.9903411865</v>
      </c>
      <c r="N33" s="33" t="n">
        <f aca="false">MAX(0,Umrechnung!$C$5-L33-Parameter!$C$32-Parameter!$C$33-M33)</f>
        <v>56382.1316070557</v>
      </c>
      <c r="O33" s="33" t="n">
        <f aca="false">MAX(0,(N33+IF(Eingaben!$C$14=3,Eingaben!$C$15,0))/Parameter!$C$57/Umrechnung!$C$8)</f>
        <v>56382.1316070557</v>
      </c>
      <c r="P33" s="33" t="n">
        <f aca="false">Parameter!$C$57*Umrechnung!$C$8*(IF(O33&lt;=Parameter!$C$18,0,IF(O33&lt;=Parameter!$C$19,(Parameter!$C$22*(O33-Parameter!$C$18)/10000+Parameter!$C$23)*(O33-Parameter!$C$18)/10000,IF(O33&lt;=Parameter!$C$20,(Parameter!$C$24*(O33-Parameter!$C$19)/10000+Parameter!$C$25)*(O33-Parameter!$C$19)/10000+Parameter!$C$26,IF(O33&lt;=Parameter!$C$21,0.42*O33-Parameter!$C$27,0.45*O33-Parameter!$C$28)))))</f>
        <v>12860.1137214266</v>
      </c>
      <c r="Q33" s="33" t="n">
        <f aca="false">P33+IF(P33&lt;=(Parameter!$C$30*Parameter!$C$57*Umrechnung!$C$8),0,MIN(Parameter!$C$29*P33,Parameter!$C$31*(P33-(Parameter!$C$30*Parameter!$C$57*Umrechnung!$C$8))))+Eingaben!$C$16*P33</f>
        <v>12860.1137214266</v>
      </c>
      <c r="R33" s="33" t="n">
        <f aca="false">E33-I33-(Umrechnung!$C$14-Q33)</f>
        <v>1979.42594829535</v>
      </c>
    </row>
    <row r="34" customFormat="false" ht="15" hidden="false" customHeight="false" outlineLevel="0" collapsed="false">
      <c r="B34" s="30" t="s">
        <v>452</v>
      </c>
      <c r="C34" s="31" t="n">
        <f aca="false">IF(R33&lt;Umrechnung!$C$9,E33,C33)</f>
        <v>3596.87805175781</v>
      </c>
      <c r="D34" s="31" t="n">
        <f aca="false">IF(R33&lt;Umrechnung!$C$9,D33,E33)</f>
        <v>3598.0224609375</v>
      </c>
      <c r="E34" s="31" t="n">
        <f aca="false">(C34+D34)/2</f>
        <v>3597.45025634766</v>
      </c>
      <c r="F34" s="31" t="n">
        <f aca="false">MIN(E34,Parameter!$C$43*Umrechnung!$C$6)</f>
        <v>3597.45025634766</v>
      </c>
      <c r="G34" s="31" t="n">
        <f aca="false">MIN(Umrechnung!$C$5,Umrechnung!$C$6)-MIN(Umrechnung!$C$5-F34,Umrechnung!$C$6)</f>
        <v>3597.45025634766</v>
      </c>
      <c r="H34" s="31" t="n">
        <f aca="false">MIN(Umrechnung!$C$5,Umrechnung!$C$7)-MIN(Umrechnung!$C$5-F34,Umrechnung!$C$7)</f>
        <v>0</v>
      </c>
      <c r="I34" s="31" t="n">
        <f aca="false">G34*(Parameter!$C$10+Parameter!$C$11)+H34*((Parameter!$C$12+Parameter!$C$13)/2+Parameter!$C$58)</f>
        <v>381.329727172852</v>
      </c>
      <c r="J34" s="31" t="n">
        <f aca="false">G34*(Parameter!$C$10+Parameter!$C$11)+H34*((Parameter!$C$12+Parameter!$C$13)/2+Parameter!$C$15)</f>
        <v>381.329727172852</v>
      </c>
      <c r="K34" s="31" t="n">
        <f aca="false">IF(Eingaben!$C$27=2,MIN(Eingaben!$C$26*E34,J34),Eingaben!$C$26*IF(Eingaben!$C$27=1,F34,E34))</f>
        <v>381.329727172852</v>
      </c>
      <c r="L34" s="31" t="n">
        <f aca="false">MIN(E34,MAX(0,Parameter!$C$42*Umrechnung!$C$6-K34))</f>
        <v>3597.45025634766</v>
      </c>
      <c r="M34" s="31" t="n">
        <f aca="false">MIN(Umrechnung!$C$5-F34,Umrechnung!$C$6)*Parameter!$C$10+MIN(Umrechnung!$C$5-F34,Umrechnung!$C$7)*(0.96*(Parameter!$C$12+Parameter!$C$13)/2+Parameter!$C$58)</f>
        <v>13754.9371261597</v>
      </c>
      <c r="N34" s="31" t="n">
        <f aca="false">MAX(0,Umrechnung!$C$5-L34-Parameter!$C$32-Parameter!$C$33-M34)</f>
        <v>56381.6126174927</v>
      </c>
      <c r="O34" s="31" t="n">
        <f aca="false">MAX(0,(N34+IF(Eingaben!$C$14=3,Eingaben!$C$15,0))/Parameter!$C$57/Umrechnung!$C$8)</f>
        <v>56381.6126174927</v>
      </c>
      <c r="P34" s="31" t="n">
        <f aca="false">Parameter!$C$57*Umrechnung!$C$8*(IF(O34&lt;=Parameter!$C$18,0,IF(O34&lt;=Parameter!$C$19,(Parameter!$C$22*(O34-Parameter!$C$18)/10000+Parameter!$C$23)*(O34-Parameter!$C$18)/10000,IF(O34&lt;=Parameter!$C$20,(Parameter!$C$24*(O34-Parameter!$C$19)/10000+Parameter!$C$25)*(O34-Parameter!$C$19)/10000+Parameter!$C$26,IF(O34&lt;=Parameter!$C$21,0.42*O34-Parameter!$C$27,0.45*O34-Parameter!$C$28)))))</f>
        <v>12859.9199961667</v>
      </c>
      <c r="Q34" s="31" t="n">
        <f aca="false">P34+IF(P34&lt;=(Parameter!$C$30*Parameter!$C$57*Umrechnung!$C$8),0,MIN(Parameter!$C$29*P34,Parameter!$C$31*(P34-(Parameter!$C$30*Parameter!$C$57*Umrechnung!$C$8))))+Eingaben!$C$16*P34</f>
        <v>12859.9199961667</v>
      </c>
      <c r="R34" s="31" t="n">
        <f aca="false">E34-I34-(Umrechnung!$C$14-Q34)</f>
        <v>1979.74377393874</v>
      </c>
    </row>
    <row r="35" customFormat="false" ht="15" hidden="false" customHeight="false" outlineLevel="0" collapsed="false">
      <c r="B35" s="32" t="s">
        <v>453</v>
      </c>
      <c r="C35" s="33" t="n">
        <f aca="false">IF(R34&lt;Umrechnung!$C$9,E34,C34)</f>
        <v>3597.45025634766</v>
      </c>
      <c r="D35" s="33" t="n">
        <f aca="false">IF(R34&lt;Umrechnung!$C$9,D34,E34)</f>
        <v>3598.0224609375</v>
      </c>
      <c r="E35" s="33" t="n">
        <f aca="false">(C35+D35)/2</f>
        <v>3597.73635864258</v>
      </c>
      <c r="F35" s="33" t="n">
        <f aca="false">MIN(E35,Parameter!$C$43*Umrechnung!$C$6)</f>
        <v>3597.73635864258</v>
      </c>
      <c r="G35" s="33" t="n">
        <f aca="false">MIN(Umrechnung!$C$5,Umrechnung!$C$6)-MIN(Umrechnung!$C$5-F35,Umrechnung!$C$6)</f>
        <v>3597.73635864258</v>
      </c>
      <c r="H35" s="33" t="n">
        <f aca="false">MIN(Umrechnung!$C$5,Umrechnung!$C$7)-MIN(Umrechnung!$C$5-F35,Umrechnung!$C$7)</f>
        <v>0</v>
      </c>
      <c r="I35" s="33" t="n">
        <f aca="false">G35*(Parameter!$C$10+Parameter!$C$11)+H35*((Parameter!$C$12+Parameter!$C$13)/2+Parameter!$C$58)</f>
        <v>381.360054016113</v>
      </c>
      <c r="J35" s="33" t="n">
        <f aca="false">G35*(Parameter!$C$10+Parameter!$C$11)+H35*((Parameter!$C$12+Parameter!$C$13)/2+Parameter!$C$15)</f>
        <v>381.360054016113</v>
      </c>
      <c r="K35" s="33" t="n">
        <f aca="false">IF(Eingaben!$C$27=2,MIN(Eingaben!$C$26*E35,J35),Eingaben!$C$26*IF(Eingaben!$C$27=1,F35,E35))</f>
        <v>381.360054016113</v>
      </c>
      <c r="L35" s="33" t="n">
        <f aca="false">MIN(E35,MAX(0,Parameter!$C$42*Umrechnung!$C$6-K35))</f>
        <v>3597.73635864258</v>
      </c>
      <c r="M35" s="33" t="n">
        <f aca="false">MIN(Umrechnung!$C$5-F35,Umrechnung!$C$6)*Parameter!$C$10+MIN(Umrechnung!$C$5-F35,Umrechnung!$C$7)*(0.96*(Parameter!$C$12+Parameter!$C$13)/2+Parameter!$C$58)</f>
        <v>13754.9105186462</v>
      </c>
      <c r="N35" s="33" t="n">
        <f aca="false">MAX(0,Umrechnung!$C$5-L35-Parameter!$C$32-Parameter!$C$33-M35)</f>
        <v>56381.3531227112</v>
      </c>
      <c r="O35" s="33" t="n">
        <f aca="false">MAX(0,(N35+IF(Eingaben!$C$14=3,Eingaben!$C$15,0))/Parameter!$C$57/Umrechnung!$C$8)</f>
        <v>56381.3531227112</v>
      </c>
      <c r="P35" s="33" t="n">
        <f aca="false">Parameter!$C$57*Umrechnung!$C$8*(IF(O35&lt;=Parameter!$C$18,0,IF(O35&lt;=Parameter!$C$19,(Parameter!$C$22*(O35-Parameter!$C$18)/10000+Parameter!$C$23)*(O35-Parameter!$C$18)/10000,IF(O35&lt;=Parameter!$C$20,(Parameter!$C$24*(O35-Parameter!$C$19)/10000+Parameter!$C$25)*(O35-Parameter!$C$19)/10000+Parameter!$C$26,IF(O35&lt;=Parameter!$C$21,0.42*O35-Parameter!$C$27,0.45*O35-Parameter!$C$28)))))</f>
        <v>12859.8231338864</v>
      </c>
      <c r="Q35" s="33" t="n">
        <f aca="false">P35+IF(P35&lt;=(Parameter!$C$30*Parameter!$C$57*Umrechnung!$C$8),0,MIN(Parameter!$C$29*P35,Parameter!$C$31*(P35-(Parameter!$C$30*Parameter!$C$57*Umrechnung!$C$8))))+Eingaben!$C$16*P35</f>
        <v>12859.8231338864</v>
      </c>
      <c r="R35" s="33" t="n">
        <f aca="false">E35-I35-(Umrechnung!$C$14-Q35)</f>
        <v>1979.90268711012</v>
      </c>
    </row>
    <row r="36" customFormat="false" ht="15" hidden="false" customHeight="false" outlineLevel="0" collapsed="false">
      <c r="B36" s="30" t="s">
        <v>454</v>
      </c>
      <c r="C36" s="31" t="n">
        <f aca="false">IF(R35&lt;Umrechnung!$C$9,E35,C35)</f>
        <v>3597.73635864258</v>
      </c>
      <c r="D36" s="31" t="n">
        <f aca="false">IF(R35&lt;Umrechnung!$C$9,D35,E35)</f>
        <v>3598.0224609375</v>
      </c>
      <c r="E36" s="31" t="n">
        <f aca="false">(C36+D36)/2</f>
        <v>3597.87940979004</v>
      </c>
      <c r="F36" s="31" t="n">
        <f aca="false">MIN(E36,Parameter!$C$43*Umrechnung!$C$6)</f>
        <v>3597.87940979004</v>
      </c>
      <c r="G36" s="31" t="n">
        <f aca="false">MIN(Umrechnung!$C$5,Umrechnung!$C$6)-MIN(Umrechnung!$C$5-F36,Umrechnung!$C$6)</f>
        <v>3597.87940979004</v>
      </c>
      <c r="H36" s="31" t="n">
        <f aca="false">MIN(Umrechnung!$C$5,Umrechnung!$C$7)-MIN(Umrechnung!$C$5-F36,Umrechnung!$C$7)</f>
        <v>0</v>
      </c>
      <c r="I36" s="31" t="n">
        <f aca="false">G36*(Parameter!$C$10+Parameter!$C$11)+H36*((Parameter!$C$12+Parameter!$C$13)/2+Parameter!$C$58)</f>
        <v>381.375217437744</v>
      </c>
      <c r="J36" s="31" t="n">
        <f aca="false">G36*(Parameter!$C$10+Parameter!$C$11)+H36*((Parameter!$C$12+Parameter!$C$13)/2+Parameter!$C$15)</f>
        <v>381.375217437744</v>
      </c>
      <c r="K36" s="31" t="n">
        <f aca="false">IF(Eingaben!$C$27=2,MIN(Eingaben!$C$26*E36,J36),Eingaben!$C$26*IF(Eingaben!$C$27=1,F36,E36))</f>
        <v>381.375217437744</v>
      </c>
      <c r="L36" s="31" t="n">
        <f aca="false">MIN(E36,MAX(0,Parameter!$C$42*Umrechnung!$C$6-K36))</f>
        <v>3597.87940979004</v>
      </c>
      <c r="M36" s="31" t="n">
        <f aca="false">MIN(Umrechnung!$C$5-F36,Umrechnung!$C$6)*Parameter!$C$10+MIN(Umrechnung!$C$5-F36,Umrechnung!$C$7)*(0.96*(Parameter!$C$12+Parameter!$C$13)/2+Parameter!$C$58)</f>
        <v>13754.8972148895</v>
      </c>
      <c r="N36" s="31" t="n">
        <f aca="false">MAX(0,Umrechnung!$C$5-L36-Parameter!$C$32-Parameter!$C$33-M36)</f>
        <v>56381.2233753204</v>
      </c>
      <c r="O36" s="31" t="n">
        <f aca="false">MAX(0,(N36+IF(Eingaben!$C$14=3,Eingaben!$C$15,0))/Parameter!$C$57/Umrechnung!$C$8)</f>
        <v>56381.2233753204</v>
      </c>
      <c r="P36" s="31" t="n">
        <f aca="false">Parameter!$C$57*Umrechnung!$C$8*(IF(O36&lt;=Parameter!$C$18,0,IF(O36&lt;=Parameter!$C$19,(Parameter!$C$22*(O36-Parameter!$C$18)/10000+Parameter!$C$23)*(O36-Parameter!$C$18)/10000,IF(O36&lt;=Parameter!$C$20,(Parameter!$C$24*(O36-Parameter!$C$19)/10000+Parameter!$C$25)*(O36-Parameter!$C$19)/10000+Parameter!$C$26,IF(O36&lt;=Parameter!$C$21,0.42*O36-Parameter!$C$27,0.45*O36-Parameter!$C$28)))))</f>
        <v>12859.7747028337</v>
      </c>
      <c r="Q36" s="31" t="n">
        <f aca="false">P36+IF(P36&lt;=(Parameter!$C$30*Parameter!$C$57*Umrechnung!$C$8),0,MIN(Parameter!$C$29*P36,Parameter!$C$31*(P36-(Parameter!$C$30*Parameter!$C$57*Umrechnung!$C$8))))+Eingaben!$C$16*P36</f>
        <v>12859.7747028337</v>
      </c>
      <c r="R36" s="31" t="n">
        <f aca="false">E36-I36-(Umrechnung!$C$14-Q36)</f>
        <v>1979.98214378324</v>
      </c>
    </row>
    <row r="37" customFormat="false" ht="15" hidden="false" customHeight="false" outlineLevel="0" collapsed="false">
      <c r="B37" s="32" t="s">
        <v>455</v>
      </c>
      <c r="C37" s="33" t="n">
        <f aca="false">IF(R36&lt;Umrechnung!$C$9,E36,C36)</f>
        <v>3597.87940979004</v>
      </c>
      <c r="D37" s="33" t="n">
        <f aca="false">IF(R36&lt;Umrechnung!$C$9,D36,E36)</f>
        <v>3598.0224609375</v>
      </c>
      <c r="E37" s="33" t="n">
        <f aca="false">(C37+D37)/2</f>
        <v>3597.95093536377</v>
      </c>
      <c r="F37" s="33" t="n">
        <f aca="false">MIN(E37,Parameter!$C$43*Umrechnung!$C$6)</f>
        <v>3597.95093536377</v>
      </c>
      <c r="G37" s="33" t="n">
        <f aca="false">MIN(Umrechnung!$C$5,Umrechnung!$C$6)-MIN(Umrechnung!$C$5-F37,Umrechnung!$C$6)</f>
        <v>3597.95093536377</v>
      </c>
      <c r="H37" s="33" t="n">
        <f aca="false">MIN(Umrechnung!$C$5,Umrechnung!$C$7)-MIN(Umrechnung!$C$5-F37,Umrechnung!$C$7)</f>
        <v>0</v>
      </c>
      <c r="I37" s="33" t="n">
        <f aca="false">G37*(Parameter!$C$10+Parameter!$C$11)+H37*((Parameter!$C$12+Parameter!$C$13)/2+Parameter!$C$58)</f>
        <v>381.38279914856</v>
      </c>
      <c r="J37" s="33" t="n">
        <f aca="false">G37*(Parameter!$C$10+Parameter!$C$11)+H37*((Parameter!$C$12+Parameter!$C$13)/2+Parameter!$C$15)</f>
        <v>381.38279914856</v>
      </c>
      <c r="K37" s="33" t="n">
        <f aca="false">IF(Eingaben!$C$27=2,MIN(Eingaben!$C$26*E37,J37),Eingaben!$C$26*IF(Eingaben!$C$27=1,F37,E37))</f>
        <v>381.38279914856</v>
      </c>
      <c r="L37" s="33" t="n">
        <f aca="false">MIN(E37,MAX(0,Parameter!$C$42*Umrechnung!$C$6-K37))</f>
        <v>3597.95093536377</v>
      </c>
      <c r="M37" s="33" t="n">
        <f aca="false">MIN(Umrechnung!$C$5-F37,Umrechnung!$C$6)*Parameter!$C$10+MIN(Umrechnung!$C$5-F37,Umrechnung!$C$7)*(0.96*(Parameter!$C$12+Parameter!$C$13)/2+Parameter!$C$58)</f>
        <v>13754.8905630112</v>
      </c>
      <c r="N37" s="33" t="n">
        <f aca="false">MAX(0,Umrechnung!$C$5-L37-Parameter!$C$32-Parameter!$C$33-M37)</f>
        <v>56381.1585016251</v>
      </c>
      <c r="O37" s="33" t="n">
        <f aca="false">MAX(0,(N37+IF(Eingaben!$C$14=3,Eingaben!$C$15,0))/Parameter!$C$57/Umrechnung!$C$8)</f>
        <v>56381.1585016251</v>
      </c>
      <c r="P37" s="33" t="n">
        <f aca="false">Parameter!$C$57*Umrechnung!$C$8*(IF(O37&lt;=Parameter!$C$18,0,IF(O37&lt;=Parameter!$C$19,(Parameter!$C$22*(O37-Parameter!$C$18)/10000+Parameter!$C$23)*(O37-Parameter!$C$18)/10000,IF(O37&lt;=Parameter!$C$20,(Parameter!$C$24*(O37-Parameter!$C$19)/10000+Parameter!$C$25)*(O37-Parameter!$C$19)/10000+Parameter!$C$26,IF(O37&lt;=Parameter!$C$21,0.42*O37-Parameter!$C$27,0.45*O37-Parameter!$C$28)))))</f>
        <v>12859.7504873292</v>
      </c>
      <c r="Q37" s="33" t="n">
        <f aca="false">P37+IF(P37&lt;=(Parameter!$C$30*Parameter!$C$57*Umrechnung!$C$8),0,MIN(Parameter!$C$29*P37,Parameter!$C$31*(P37-(Parameter!$C$30*Parameter!$C$57*Umrechnung!$C$8))))+Eingaben!$C$16*P37</f>
        <v>12859.7504873292</v>
      </c>
      <c r="R37" s="33" t="n">
        <f aca="false">E37-I37-(Umrechnung!$C$14-Q37)</f>
        <v>1980.02187214165</v>
      </c>
    </row>
    <row r="38" customFormat="false" ht="15" hidden="false" customHeight="false" outlineLevel="0" collapsed="false">
      <c r="B38" s="30" t="s">
        <v>456</v>
      </c>
      <c r="C38" s="31" t="n">
        <f aca="false">IF(R37&lt;Umrechnung!$C$9,E37,C37)</f>
        <v>3597.87940979004</v>
      </c>
      <c r="D38" s="31" t="n">
        <f aca="false">IF(R37&lt;Umrechnung!$C$9,D37,E37)</f>
        <v>3597.95093536377</v>
      </c>
      <c r="E38" s="31" t="n">
        <f aca="false">(C38+D38)/2</f>
        <v>3597.9151725769</v>
      </c>
      <c r="F38" s="31" t="n">
        <f aca="false">MIN(E38,Parameter!$C$43*Umrechnung!$C$6)</f>
        <v>3597.9151725769</v>
      </c>
      <c r="G38" s="31" t="n">
        <f aca="false">MIN(Umrechnung!$C$5,Umrechnung!$C$6)-MIN(Umrechnung!$C$5-F38,Umrechnung!$C$6)</f>
        <v>3597.9151725769</v>
      </c>
      <c r="H38" s="31" t="n">
        <f aca="false">MIN(Umrechnung!$C$5,Umrechnung!$C$7)-MIN(Umrechnung!$C$5-F38,Umrechnung!$C$7)</f>
        <v>0</v>
      </c>
      <c r="I38" s="31" t="n">
        <f aca="false">G38*(Parameter!$C$10+Parameter!$C$11)+H38*((Parameter!$C$12+Parameter!$C$13)/2+Parameter!$C$58)</f>
        <v>381.379008293152</v>
      </c>
      <c r="J38" s="31" t="n">
        <f aca="false">G38*(Parameter!$C$10+Parameter!$C$11)+H38*((Parameter!$C$12+Parameter!$C$13)/2+Parameter!$C$15)</f>
        <v>381.379008293152</v>
      </c>
      <c r="K38" s="31" t="n">
        <f aca="false">IF(Eingaben!$C$27=2,MIN(Eingaben!$C$26*E38,J38),Eingaben!$C$26*IF(Eingaben!$C$27=1,F38,E38))</f>
        <v>381.379008293152</v>
      </c>
      <c r="L38" s="31" t="n">
        <f aca="false">MIN(E38,MAX(0,Parameter!$C$42*Umrechnung!$C$6-K38))</f>
        <v>3597.9151725769</v>
      </c>
      <c r="M38" s="31" t="n">
        <f aca="false">MIN(Umrechnung!$C$5-F38,Umrechnung!$C$6)*Parameter!$C$10+MIN(Umrechnung!$C$5-F38,Umrechnung!$C$7)*(0.96*(Parameter!$C$12+Parameter!$C$13)/2+Parameter!$C$58)</f>
        <v>13754.8938889503</v>
      </c>
      <c r="N38" s="31" t="n">
        <f aca="false">MAX(0,Umrechnung!$C$5-L38-Parameter!$C$32-Parameter!$C$33-M38)</f>
        <v>56381.1909384728</v>
      </c>
      <c r="O38" s="31" t="n">
        <f aca="false">MAX(0,(N38+IF(Eingaben!$C$14=3,Eingaben!$C$15,0))/Parameter!$C$57/Umrechnung!$C$8)</f>
        <v>56381.1909384728</v>
      </c>
      <c r="P38" s="31" t="n">
        <f aca="false">Parameter!$C$57*Umrechnung!$C$8*(IF(O38&lt;=Parameter!$C$18,0,IF(O38&lt;=Parameter!$C$19,(Parameter!$C$22*(O38-Parameter!$C$18)/10000+Parameter!$C$23)*(O38-Parameter!$C$18)/10000,IF(O38&lt;=Parameter!$C$20,(Parameter!$C$24*(O38-Parameter!$C$19)/10000+Parameter!$C$25)*(O38-Parameter!$C$19)/10000+Parameter!$C$26,IF(O38&lt;=Parameter!$C$21,0.42*O38-Parameter!$C$27,0.45*O38-Parameter!$C$28)))))</f>
        <v>12859.7625950796</v>
      </c>
      <c r="Q38" s="31" t="n">
        <f aca="false">P38+IF(P38&lt;=(Parameter!$C$30*Parameter!$C$57*Umrechnung!$C$8),0,MIN(Parameter!$C$29*P38,Parameter!$C$31*(P38-(Parameter!$C$30*Parameter!$C$57*Umrechnung!$C$8))))+Eingaben!$C$16*P38</f>
        <v>12859.7625950796</v>
      </c>
      <c r="R38" s="31" t="n">
        <f aca="false">E38-I38-(Umrechnung!$C$14-Q38)</f>
        <v>1980.00200796062</v>
      </c>
    </row>
    <row r="39" customFormat="false" ht="15" hidden="false" customHeight="false" outlineLevel="0" collapsed="false">
      <c r="B39" s="32" t="s">
        <v>457</v>
      </c>
      <c r="C39" s="33" t="n">
        <f aca="false">IF(R38&lt;Umrechnung!$C$9,E38,C38)</f>
        <v>3597.87940979004</v>
      </c>
      <c r="D39" s="33" t="n">
        <f aca="false">IF(R38&lt;Umrechnung!$C$9,D38,E38)</f>
        <v>3597.9151725769</v>
      </c>
      <c r="E39" s="33" t="n">
        <f aca="false">(C39+D39)/2</f>
        <v>3597.89729118347</v>
      </c>
      <c r="F39" s="33" t="n">
        <f aca="false">MIN(E39,Parameter!$C$43*Umrechnung!$C$6)</f>
        <v>3597.89729118347</v>
      </c>
      <c r="G39" s="33" t="n">
        <f aca="false">MIN(Umrechnung!$C$5,Umrechnung!$C$6)-MIN(Umrechnung!$C$5-F39,Umrechnung!$C$6)</f>
        <v>3597.89729118347</v>
      </c>
      <c r="H39" s="33" t="n">
        <f aca="false">MIN(Umrechnung!$C$5,Umrechnung!$C$7)-MIN(Umrechnung!$C$5-F39,Umrechnung!$C$7)</f>
        <v>0</v>
      </c>
      <c r="I39" s="33" t="n">
        <f aca="false">G39*(Parameter!$C$10+Parameter!$C$11)+H39*((Parameter!$C$12+Parameter!$C$13)/2+Parameter!$C$58)</f>
        <v>381.377112865448</v>
      </c>
      <c r="J39" s="33" t="n">
        <f aca="false">G39*(Parameter!$C$10+Parameter!$C$11)+H39*((Parameter!$C$12+Parameter!$C$13)/2+Parameter!$C$15)</f>
        <v>381.377112865448</v>
      </c>
      <c r="K39" s="33" t="n">
        <f aca="false">IF(Eingaben!$C$27=2,MIN(Eingaben!$C$26*E39,J39),Eingaben!$C$26*IF(Eingaben!$C$27=1,F39,E39))</f>
        <v>381.377112865448</v>
      </c>
      <c r="L39" s="33" t="n">
        <f aca="false">MIN(E39,MAX(0,Parameter!$C$42*Umrechnung!$C$6-K39))</f>
        <v>3597.89729118347</v>
      </c>
      <c r="M39" s="33" t="n">
        <f aca="false">MIN(Umrechnung!$C$5-F39,Umrechnung!$C$6)*Parameter!$C$10+MIN(Umrechnung!$C$5-F39,Umrechnung!$C$7)*(0.96*(Parameter!$C$12+Parameter!$C$13)/2+Parameter!$C$58)</f>
        <v>13754.8955519199</v>
      </c>
      <c r="N39" s="33" t="n">
        <f aca="false">MAX(0,Umrechnung!$C$5-L39-Parameter!$C$32-Parameter!$C$33-M39)</f>
        <v>56381.2071568966</v>
      </c>
      <c r="O39" s="33" t="n">
        <f aca="false">MAX(0,(N39+IF(Eingaben!$C$14=3,Eingaben!$C$15,0))/Parameter!$C$57/Umrechnung!$C$8)</f>
        <v>56381.2071568966</v>
      </c>
      <c r="P39" s="33" t="n">
        <f aca="false">Parameter!$C$57*Umrechnung!$C$8*(IF(O39&lt;=Parameter!$C$18,0,IF(O39&lt;=Parameter!$C$19,(Parameter!$C$22*(O39-Parameter!$C$18)/10000+Parameter!$C$23)*(O39-Parameter!$C$18)/10000,IF(O39&lt;=Parameter!$C$20,(Parameter!$C$24*(O39-Parameter!$C$19)/10000+Parameter!$C$25)*(O39-Parameter!$C$19)/10000+Parameter!$C$26,IF(O39&lt;=Parameter!$C$21,0.42*O39-Parameter!$C$27,0.45*O39-Parameter!$C$28)))))</f>
        <v>12859.7686489562</v>
      </c>
      <c r="Q39" s="33" t="n">
        <f aca="false">P39+IF(P39&lt;=(Parameter!$C$30*Parameter!$C$57*Umrechnung!$C$8),0,MIN(Parameter!$C$29*P39,Parameter!$C$31*(P39-(Parameter!$C$30*Parameter!$C$57*Umrechnung!$C$8))))+Eingaben!$C$16*P39</f>
        <v>12859.7686489562</v>
      </c>
      <c r="R39" s="33" t="n">
        <f aca="false">E39-I39-(Umrechnung!$C$14-Q39)</f>
        <v>1979.99207587147</v>
      </c>
    </row>
    <row r="40" customFormat="false" ht="15" hidden="false" customHeight="false" outlineLevel="0" collapsed="false">
      <c r="B40" s="30" t="s">
        <v>458</v>
      </c>
      <c r="C40" s="31" t="n">
        <f aca="false">IF(R39&lt;Umrechnung!$C$9,E39,C39)</f>
        <v>3597.89729118347</v>
      </c>
      <c r="D40" s="31" t="n">
        <f aca="false">IF(R39&lt;Umrechnung!$C$9,D39,E39)</f>
        <v>3597.9151725769</v>
      </c>
      <c r="E40" s="31" t="n">
        <f aca="false">(C40+D40)/2</f>
        <v>3597.90623188019</v>
      </c>
      <c r="F40" s="31" t="n">
        <f aca="false">MIN(E40,Parameter!$C$43*Umrechnung!$C$6)</f>
        <v>3597.90623188019</v>
      </c>
      <c r="G40" s="31" t="n">
        <f aca="false">MIN(Umrechnung!$C$5,Umrechnung!$C$6)-MIN(Umrechnung!$C$5-F40,Umrechnung!$C$6)</f>
        <v>3597.90623188019</v>
      </c>
      <c r="H40" s="31" t="n">
        <f aca="false">MIN(Umrechnung!$C$5,Umrechnung!$C$7)-MIN(Umrechnung!$C$5-F40,Umrechnung!$C$7)</f>
        <v>0</v>
      </c>
      <c r="I40" s="31" t="n">
        <f aca="false">G40*(Parameter!$C$10+Parameter!$C$11)+H40*((Parameter!$C$12+Parameter!$C$13)/2+Parameter!$C$58)</f>
        <v>381.3780605793</v>
      </c>
      <c r="J40" s="31" t="n">
        <f aca="false">G40*(Parameter!$C$10+Parameter!$C$11)+H40*((Parameter!$C$12+Parameter!$C$13)/2+Parameter!$C$15)</f>
        <v>381.3780605793</v>
      </c>
      <c r="K40" s="31" t="n">
        <f aca="false">IF(Eingaben!$C$27=2,MIN(Eingaben!$C$26*E40,J40),Eingaben!$C$26*IF(Eingaben!$C$27=1,F40,E40))</f>
        <v>381.3780605793</v>
      </c>
      <c r="L40" s="31" t="n">
        <f aca="false">MIN(E40,MAX(0,Parameter!$C$42*Umrechnung!$C$6-K40))</f>
        <v>3597.90623188019</v>
      </c>
      <c r="M40" s="31" t="n">
        <f aca="false">MIN(Umrechnung!$C$5-F40,Umrechnung!$C$6)*Parameter!$C$10+MIN(Umrechnung!$C$5-F40,Umrechnung!$C$7)*(0.96*(Parameter!$C$12+Parameter!$C$13)/2+Parameter!$C$58)</f>
        <v>13754.8947204351</v>
      </c>
      <c r="N40" s="31" t="n">
        <f aca="false">MAX(0,Umrechnung!$C$5-L40-Parameter!$C$32-Parameter!$C$33-M40)</f>
        <v>56381.1990476847</v>
      </c>
      <c r="O40" s="31" t="n">
        <f aca="false">MAX(0,(N40+IF(Eingaben!$C$14=3,Eingaben!$C$15,0))/Parameter!$C$57/Umrechnung!$C$8)</f>
        <v>56381.1990476847</v>
      </c>
      <c r="P40" s="31" t="n">
        <f aca="false">Parameter!$C$57*Umrechnung!$C$8*(IF(O40&lt;=Parameter!$C$18,0,IF(O40&lt;=Parameter!$C$19,(Parameter!$C$22*(O40-Parameter!$C$18)/10000+Parameter!$C$23)*(O40-Parameter!$C$18)/10000,IF(O40&lt;=Parameter!$C$20,(Parameter!$C$24*(O40-Parameter!$C$19)/10000+Parameter!$C$25)*(O40-Parameter!$C$19)/10000+Parameter!$C$26,IF(O40&lt;=Parameter!$C$21,0.42*O40-Parameter!$C$27,0.45*O40-Parameter!$C$28)))))</f>
        <v>12859.7656220178</v>
      </c>
      <c r="Q40" s="31" t="n">
        <f aca="false">P40+IF(P40&lt;=(Parameter!$C$30*Parameter!$C$57*Umrechnung!$C$8),0,MIN(Parameter!$C$29*P40,Parameter!$C$31*(P40-(Parameter!$C$30*Parameter!$C$57*Umrechnung!$C$8))))+Eingaben!$C$16*P40</f>
        <v>12859.7656220178</v>
      </c>
      <c r="R40" s="31" t="n">
        <f aca="false">E40-I40-(Umrechnung!$C$14-Q40)</f>
        <v>1979.99704191593</v>
      </c>
    </row>
    <row r="41" customFormat="false" ht="15" hidden="false" customHeight="false" outlineLevel="0" collapsed="false">
      <c r="B41" s="32" t="s">
        <v>459</v>
      </c>
      <c r="C41" s="33" t="n">
        <f aca="false">IF(R40&lt;Umrechnung!$C$9,E40,C40)</f>
        <v>3597.90623188019</v>
      </c>
      <c r="D41" s="33" t="n">
        <f aca="false">IF(R40&lt;Umrechnung!$C$9,D40,E40)</f>
        <v>3597.9151725769</v>
      </c>
      <c r="E41" s="33" t="n">
        <f aca="false">(C41+D41)/2</f>
        <v>3597.91070222855</v>
      </c>
      <c r="F41" s="33" t="n">
        <f aca="false">MIN(E41,Parameter!$C$43*Umrechnung!$C$6)</f>
        <v>3597.91070222855</v>
      </c>
      <c r="G41" s="33" t="n">
        <f aca="false">MIN(Umrechnung!$C$5,Umrechnung!$C$6)-MIN(Umrechnung!$C$5-F41,Umrechnung!$C$6)</f>
        <v>3597.91070222855</v>
      </c>
      <c r="H41" s="33" t="n">
        <f aca="false">MIN(Umrechnung!$C$5,Umrechnung!$C$7)-MIN(Umrechnung!$C$5-F41,Umrechnung!$C$7)</f>
        <v>0</v>
      </c>
      <c r="I41" s="33" t="n">
        <f aca="false">G41*(Parameter!$C$10+Parameter!$C$11)+H41*((Parameter!$C$12+Parameter!$C$13)/2+Parameter!$C$58)</f>
        <v>381.378534436226</v>
      </c>
      <c r="J41" s="33" t="n">
        <f aca="false">G41*(Parameter!$C$10+Parameter!$C$11)+H41*((Parameter!$C$12+Parameter!$C$13)/2+Parameter!$C$15)</f>
        <v>381.378534436226</v>
      </c>
      <c r="K41" s="33" t="n">
        <f aca="false">IF(Eingaben!$C$27=2,MIN(Eingaben!$C$26*E41,J41),Eingaben!$C$26*IF(Eingaben!$C$27=1,F41,E41))</f>
        <v>381.378534436226</v>
      </c>
      <c r="L41" s="33" t="n">
        <f aca="false">MIN(E41,MAX(0,Parameter!$C$42*Umrechnung!$C$6-K41))</f>
        <v>3597.91070222855</v>
      </c>
      <c r="M41" s="33" t="n">
        <f aca="false">MIN(Umrechnung!$C$5-F41,Umrechnung!$C$6)*Parameter!$C$10+MIN(Umrechnung!$C$5-F41,Umrechnung!$C$7)*(0.96*(Parameter!$C$12+Parameter!$C$13)/2+Parameter!$C$58)</f>
        <v>13754.8943046927</v>
      </c>
      <c r="N41" s="33" t="n">
        <f aca="false">MAX(0,Umrechnung!$C$5-L41-Parameter!$C$32-Parameter!$C$33-M41)</f>
        <v>56381.1949930787</v>
      </c>
      <c r="O41" s="33" t="n">
        <f aca="false">MAX(0,(N41+IF(Eingaben!$C$14=3,Eingaben!$C$15,0))/Parameter!$C$57/Umrechnung!$C$8)</f>
        <v>56381.1949930787</v>
      </c>
      <c r="P41" s="33" t="n">
        <f aca="false">Parameter!$C$57*Umrechnung!$C$8*(IF(O41&lt;=Parameter!$C$18,0,IF(O41&lt;=Parameter!$C$19,(Parameter!$C$22*(O41-Parameter!$C$18)/10000+Parameter!$C$23)*(O41-Parameter!$C$18)/10000,IF(O41&lt;=Parameter!$C$20,(Parameter!$C$24*(O41-Parameter!$C$19)/10000+Parameter!$C$25)*(O41-Parameter!$C$19)/10000+Parameter!$C$26,IF(O41&lt;=Parameter!$C$21,0.42*O41-Parameter!$C$27,0.45*O41-Parameter!$C$28)))))</f>
        <v>12859.7641085487</v>
      </c>
      <c r="Q41" s="33" t="n">
        <f aca="false">P41+IF(P41&lt;=(Parameter!$C$30*Parameter!$C$57*Umrechnung!$C$8),0,MIN(Parameter!$C$29*P41,Parameter!$C$31*(P41-(Parameter!$C$30*Parameter!$C$57*Umrechnung!$C$8))))+Eingaben!$C$16*P41</f>
        <v>12859.7641085487</v>
      </c>
      <c r="R41" s="33" t="n">
        <f aca="false">E41-I41-(Umrechnung!$C$14-Q41)</f>
        <v>1979.99952493825</v>
      </c>
    </row>
    <row r="42" customFormat="false" ht="15" hidden="false" customHeight="false" outlineLevel="0" collapsed="false">
      <c r="B42" s="30" t="s">
        <v>460</v>
      </c>
      <c r="C42" s="31" t="n">
        <f aca="false">IF(R41&lt;Umrechnung!$C$9,E41,C41)</f>
        <v>3597.91070222855</v>
      </c>
      <c r="D42" s="31" t="n">
        <f aca="false">IF(R41&lt;Umrechnung!$C$9,D41,E41)</f>
        <v>3597.9151725769</v>
      </c>
      <c r="E42" s="31" t="n">
        <f aca="false">(C42+D42)/2</f>
        <v>3597.91293740273</v>
      </c>
      <c r="F42" s="31" t="n">
        <f aca="false">MIN(E42,Parameter!$C$43*Umrechnung!$C$6)</f>
        <v>3597.91293740273</v>
      </c>
      <c r="G42" s="31" t="n">
        <f aca="false">MIN(Umrechnung!$C$5,Umrechnung!$C$6)-MIN(Umrechnung!$C$5-F42,Umrechnung!$C$6)</f>
        <v>3597.91293740273</v>
      </c>
      <c r="H42" s="31" t="n">
        <f aca="false">MIN(Umrechnung!$C$5,Umrechnung!$C$7)-MIN(Umrechnung!$C$5-F42,Umrechnung!$C$7)</f>
        <v>0</v>
      </c>
      <c r="I42" s="31" t="n">
        <f aca="false">G42*(Parameter!$C$10+Parameter!$C$11)+H42*((Parameter!$C$12+Parameter!$C$13)/2+Parameter!$C$58)</f>
        <v>381.378771364689</v>
      </c>
      <c r="J42" s="31" t="n">
        <f aca="false">G42*(Parameter!$C$10+Parameter!$C$11)+H42*((Parameter!$C$12+Parameter!$C$13)/2+Parameter!$C$15)</f>
        <v>381.378771364689</v>
      </c>
      <c r="K42" s="31" t="n">
        <f aca="false">IF(Eingaben!$C$27=2,MIN(Eingaben!$C$26*E42,J42),Eingaben!$C$26*IF(Eingaben!$C$27=1,F42,E42))</f>
        <v>381.378771364689</v>
      </c>
      <c r="L42" s="31" t="n">
        <f aca="false">MIN(E42,MAX(0,Parameter!$C$42*Umrechnung!$C$6-K42))</f>
        <v>3597.91293740273</v>
      </c>
      <c r="M42" s="31" t="n">
        <f aca="false">MIN(Umrechnung!$C$5-F42,Umrechnung!$C$6)*Parameter!$C$10+MIN(Umrechnung!$C$5-F42,Umrechnung!$C$7)*(0.96*(Parameter!$C$12+Parameter!$C$13)/2+Parameter!$C$58)</f>
        <v>13754.8940968215</v>
      </c>
      <c r="N42" s="31" t="n">
        <f aca="false">MAX(0,Umrechnung!$C$5-L42-Parameter!$C$32-Parameter!$C$33-M42)</f>
        <v>56381.1929657757</v>
      </c>
      <c r="O42" s="31" t="n">
        <f aca="false">MAX(0,(N42+IF(Eingaben!$C$14=3,Eingaben!$C$15,0))/Parameter!$C$57/Umrechnung!$C$8)</f>
        <v>56381.1929657757</v>
      </c>
      <c r="P42" s="31" t="n">
        <f aca="false">Parameter!$C$57*Umrechnung!$C$8*(IF(O42&lt;=Parameter!$C$18,0,IF(O42&lt;=Parameter!$C$19,(Parameter!$C$22*(O42-Parameter!$C$18)/10000+Parameter!$C$23)*(O42-Parameter!$C$18)/10000,IF(O42&lt;=Parameter!$C$20,(Parameter!$C$24*(O42-Parameter!$C$19)/10000+Parameter!$C$25)*(O42-Parameter!$C$19)/10000+Parameter!$C$26,IF(O42&lt;=Parameter!$C$21,0.42*O42-Parameter!$C$27,0.45*O42-Parameter!$C$28)))))</f>
        <v>12859.7633518141</v>
      </c>
      <c r="Q42" s="31" t="n">
        <f aca="false">P42+IF(P42&lt;=(Parameter!$C$30*Parameter!$C$57*Umrechnung!$C$8),0,MIN(Parameter!$C$29*P42,Parameter!$C$31*(P42-(Parameter!$C$30*Parameter!$C$57*Umrechnung!$C$8))))+Eingaben!$C$16*P42</f>
        <v>12859.7633518141</v>
      </c>
      <c r="R42" s="31" t="n">
        <f aca="false">E42-I42-(Umrechnung!$C$14-Q42)</f>
        <v>1980.00076644943</v>
      </c>
    </row>
    <row r="43" customFormat="false" ht="15" hidden="false" customHeight="false" outlineLevel="0" collapsed="false">
      <c r="B43" s="32" t="s">
        <v>461</v>
      </c>
      <c r="C43" s="33" t="n">
        <f aca="false">IF(R42&lt;Umrechnung!$C$9,E42,C42)</f>
        <v>3597.91070222855</v>
      </c>
      <c r="D43" s="33" t="n">
        <f aca="false">IF(R42&lt;Umrechnung!$C$9,D42,E42)</f>
        <v>3597.91293740273</v>
      </c>
      <c r="E43" s="33" t="n">
        <f aca="false">(C43+D43)/2</f>
        <v>3597.91181981564</v>
      </c>
      <c r="F43" s="33" t="n">
        <f aca="false">MIN(E43,Parameter!$C$43*Umrechnung!$C$6)</f>
        <v>3597.91181981564</v>
      </c>
      <c r="G43" s="33" t="n">
        <f aca="false">MIN(Umrechnung!$C$5,Umrechnung!$C$6)-MIN(Umrechnung!$C$5-F43,Umrechnung!$C$6)</f>
        <v>3597.91181981564</v>
      </c>
      <c r="H43" s="33" t="n">
        <f aca="false">MIN(Umrechnung!$C$5,Umrechnung!$C$7)-MIN(Umrechnung!$C$5-F43,Umrechnung!$C$7)</f>
        <v>0</v>
      </c>
      <c r="I43" s="33" t="n">
        <f aca="false">G43*(Parameter!$C$10+Parameter!$C$11)+H43*((Parameter!$C$12+Parameter!$C$13)/2+Parameter!$C$58)</f>
        <v>381.378652900457</v>
      </c>
      <c r="J43" s="33" t="n">
        <f aca="false">G43*(Parameter!$C$10+Parameter!$C$11)+H43*((Parameter!$C$12+Parameter!$C$13)/2+Parameter!$C$15)</f>
        <v>381.378652900457</v>
      </c>
      <c r="K43" s="33" t="n">
        <f aca="false">IF(Eingaben!$C$27=2,MIN(Eingaben!$C$26*E43,J43),Eingaben!$C$26*IF(Eingaben!$C$27=1,F43,E43))</f>
        <v>381.378652900457</v>
      </c>
      <c r="L43" s="33" t="n">
        <f aca="false">MIN(E43,MAX(0,Parameter!$C$42*Umrechnung!$C$6-K43))</f>
        <v>3597.91181981564</v>
      </c>
      <c r="M43" s="33" t="n">
        <f aca="false">MIN(Umrechnung!$C$5-F43,Umrechnung!$C$6)*Parameter!$C$10+MIN(Umrechnung!$C$5-F43,Umrechnung!$C$7)*(0.96*(Parameter!$C$12+Parameter!$C$13)/2+Parameter!$C$58)</f>
        <v>13754.8942007571</v>
      </c>
      <c r="N43" s="33" t="n">
        <f aca="false">MAX(0,Umrechnung!$C$5-L43-Parameter!$C$32-Parameter!$C$33-M43)</f>
        <v>56381.1939794272</v>
      </c>
      <c r="O43" s="33" t="n">
        <f aca="false">MAX(0,(N43+IF(Eingaben!$C$14=3,Eingaben!$C$15,0))/Parameter!$C$57/Umrechnung!$C$8)</f>
        <v>56381.1939794272</v>
      </c>
      <c r="P43" s="33" t="n">
        <f aca="false">Parameter!$C$57*Umrechnung!$C$8*(IF(O43&lt;=Parameter!$C$18,0,IF(O43&lt;=Parameter!$C$19,(Parameter!$C$22*(O43-Parameter!$C$18)/10000+Parameter!$C$23)*(O43-Parameter!$C$18)/10000,IF(O43&lt;=Parameter!$C$20,(Parameter!$C$24*(O43-Parameter!$C$19)/10000+Parameter!$C$25)*(O43-Parameter!$C$19)/10000+Parameter!$C$26,IF(O43&lt;=Parameter!$C$21,0.42*O43-Parameter!$C$27,0.45*O43-Parameter!$C$28)))))</f>
        <v>12859.7637301814</v>
      </c>
      <c r="Q43" s="33" t="n">
        <f aca="false">P43+IF(P43&lt;=(Parameter!$C$30*Parameter!$C$57*Umrechnung!$C$8),0,MIN(Parameter!$C$29*P43,Parameter!$C$31*(P43-(Parameter!$C$30*Parameter!$C$57*Umrechnung!$C$8))))+Eingaben!$C$16*P43</f>
        <v>12859.7637301814</v>
      </c>
      <c r="R43" s="33" t="n">
        <f aca="false">E43-I43-(Umrechnung!$C$14-Q43)</f>
        <v>1980.00014569384</v>
      </c>
    </row>
    <row r="44" customFormat="false" ht="15" hidden="false" customHeight="false" outlineLevel="0" collapsed="false">
      <c r="B44" s="30" t="s">
        <v>462</v>
      </c>
      <c r="C44" s="31" t="n">
        <f aca="false">IF(R43&lt;Umrechnung!$C$9,E43,C43)</f>
        <v>3597.91070222855</v>
      </c>
      <c r="D44" s="31" t="n">
        <f aca="false">IF(R43&lt;Umrechnung!$C$9,D43,E43)</f>
        <v>3597.91181981564</v>
      </c>
      <c r="E44" s="31" t="n">
        <f aca="false">(C44+D44)/2</f>
        <v>3597.91126102209</v>
      </c>
      <c r="F44" s="31" t="n">
        <f aca="false">MIN(E44,Parameter!$C$43*Umrechnung!$C$6)</f>
        <v>3597.91126102209</v>
      </c>
      <c r="G44" s="31" t="n">
        <f aca="false">MIN(Umrechnung!$C$5,Umrechnung!$C$6)-MIN(Umrechnung!$C$5-F44,Umrechnung!$C$6)</f>
        <v>3597.91126102209</v>
      </c>
      <c r="H44" s="31" t="n">
        <f aca="false">MIN(Umrechnung!$C$5,Umrechnung!$C$7)-MIN(Umrechnung!$C$5-F44,Umrechnung!$C$7)</f>
        <v>0</v>
      </c>
      <c r="I44" s="31" t="n">
        <f aca="false">G44*(Parameter!$C$10+Parameter!$C$11)+H44*((Parameter!$C$12+Parameter!$C$13)/2+Parameter!$C$58)</f>
        <v>381.378593668342</v>
      </c>
      <c r="J44" s="31" t="n">
        <f aca="false">G44*(Parameter!$C$10+Parameter!$C$11)+H44*((Parameter!$C$12+Parameter!$C$13)/2+Parameter!$C$15)</f>
        <v>381.378593668342</v>
      </c>
      <c r="K44" s="31" t="n">
        <f aca="false">IF(Eingaben!$C$27=2,MIN(Eingaben!$C$26*E44,J44),Eingaben!$C$26*IF(Eingaben!$C$27=1,F44,E44))</f>
        <v>381.378593668342</v>
      </c>
      <c r="L44" s="31" t="n">
        <f aca="false">MIN(E44,MAX(0,Parameter!$C$42*Umrechnung!$C$6-K44))</f>
        <v>3597.91126102209</v>
      </c>
      <c r="M44" s="31" t="n">
        <f aca="false">MIN(Umrechnung!$C$5-F44,Umrechnung!$C$6)*Parameter!$C$10+MIN(Umrechnung!$C$5-F44,Umrechnung!$C$7)*(0.96*(Parameter!$C$12+Parameter!$C$13)/2+Parameter!$C$58)</f>
        <v>13754.8942527249</v>
      </c>
      <c r="N44" s="31" t="n">
        <f aca="false">MAX(0,Umrechnung!$C$5-L44-Parameter!$C$32-Parameter!$C$33-M44)</f>
        <v>56381.194486253</v>
      </c>
      <c r="O44" s="31" t="n">
        <f aca="false">MAX(0,(N44+IF(Eingaben!$C$14=3,Eingaben!$C$15,0))/Parameter!$C$57/Umrechnung!$C$8)</f>
        <v>56381.194486253</v>
      </c>
      <c r="P44" s="31" t="n">
        <f aca="false">Parameter!$C$57*Umrechnung!$C$8*(IF(O44&lt;=Parameter!$C$18,0,IF(O44&lt;=Parameter!$C$19,(Parameter!$C$22*(O44-Parameter!$C$18)/10000+Parameter!$C$23)*(O44-Parameter!$C$18)/10000,IF(O44&lt;=Parameter!$C$20,(Parameter!$C$24*(O44-Parameter!$C$19)/10000+Parameter!$C$25)*(O44-Parameter!$C$19)/10000+Parameter!$C$26,IF(O44&lt;=Parameter!$C$21,0.42*O44-Parameter!$C$27,0.45*O44-Parameter!$C$28)))))</f>
        <v>12859.763919365</v>
      </c>
      <c r="Q44" s="31" t="n">
        <f aca="false">P44+IF(P44&lt;=(Parameter!$C$30*Parameter!$C$57*Umrechnung!$C$8),0,MIN(Parameter!$C$29*P44,Parameter!$C$31*(P44-(Parameter!$C$30*Parameter!$C$57*Umrechnung!$C$8))))+Eingaben!$C$16*P44</f>
        <v>12859.763919365</v>
      </c>
      <c r="R44" s="31" t="n">
        <f aca="false">E44-I44-(Umrechnung!$C$14-Q44)</f>
        <v>1979.99983531604</v>
      </c>
    </row>
    <row r="45" customFormat="false" ht="15" hidden="false" customHeight="false" outlineLevel="0" collapsed="false">
      <c r="B45" s="32" t="s">
        <v>463</v>
      </c>
      <c r="C45" s="33" t="n">
        <f aca="false">IF(R44&lt;Umrechnung!$C$9,E44,C44)</f>
        <v>3597.91126102209</v>
      </c>
      <c r="D45" s="33" t="n">
        <f aca="false">IF(R44&lt;Umrechnung!$C$9,D44,E44)</f>
        <v>3597.91181981564</v>
      </c>
      <c r="E45" s="33" t="n">
        <f aca="false">(C45+D45)/2</f>
        <v>3597.91154041886</v>
      </c>
      <c r="F45" s="33" t="n">
        <f aca="false">MIN(E45,Parameter!$C$43*Umrechnung!$C$6)</f>
        <v>3597.91154041886</v>
      </c>
      <c r="G45" s="33" t="n">
        <f aca="false">MIN(Umrechnung!$C$5,Umrechnung!$C$6)-MIN(Umrechnung!$C$5-F45,Umrechnung!$C$6)</f>
        <v>3597.91154041886</v>
      </c>
      <c r="H45" s="33" t="n">
        <f aca="false">MIN(Umrechnung!$C$5,Umrechnung!$C$7)-MIN(Umrechnung!$C$5-F45,Umrechnung!$C$7)</f>
        <v>0</v>
      </c>
      <c r="I45" s="33" t="n">
        <f aca="false">G45*(Parameter!$C$10+Parameter!$C$11)+H45*((Parameter!$C$12+Parameter!$C$13)/2+Parameter!$C$58)</f>
        <v>381.3786232844</v>
      </c>
      <c r="J45" s="33" t="n">
        <f aca="false">G45*(Parameter!$C$10+Parameter!$C$11)+H45*((Parameter!$C$12+Parameter!$C$13)/2+Parameter!$C$15)</f>
        <v>381.3786232844</v>
      </c>
      <c r="K45" s="33" t="n">
        <f aca="false">IF(Eingaben!$C$27=2,MIN(Eingaben!$C$26*E45,J45),Eingaben!$C$26*IF(Eingaben!$C$27=1,F45,E45))</f>
        <v>381.3786232844</v>
      </c>
      <c r="L45" s="33" t="n">
        <f aca="false">MIN(E45,MAX(0,Parameter!$C$42*Umrechnung!$C$6-K45))</f>
        <v>3597.91154041886</v>
      </c>
      <c r="M45" s="33" t="n">
        <f aca="false">MIN(Umrechnung!$C$5-F45,Umrechnung!$C$6)*Parameter!$C$10+MIN(Umrechnung!$C$5-F45,Umrechnung!$C$7)*(0.96*(Parameter!$C$12+Parameter!$C$13)/2+Parameter!$C$58)</f>
        <v>13754.894226741</v>
      </c>
      <c r="N45" s="33" t="n">
        <f aca="false">MAX(0,Umrechnung!$C$5-L45-Parameter!$C$32-Parameter!$C$33-M45)</f>
        <v>56381.1942328401</v>
      </c>
      <c r="O45" s="33" t="n">
        <f aca="false">MAX(0,(N45+IF(Eingaben!$C$14=3,Eingaben!$C$15,0))/Parameter!$C$57/Umrechnung!$C$8)</f>
        <v>56381.1942328401</v>
      </c>
      <c r="P45" s="33" t="n">
        <f aca="false">Parameter!$C$57*Umrechnung!$C$8*(IF(O45&lt;=Parameter!$C$18,0,IF(O45&lt;=Parameter!$C$19,(Parameter!$C$22*(O45-Parameter!$C$18)/10000+Parameter!$C$23)*(O45-Parameter!$C$18)/10000,IF(O45&lt;=Parameter!$C$20,(Parameter!$C$24*(O45-Parameter!$C$19)/10000+Parameter!$C$25)*(O45-Parameter!$C$19)/10000+Parameter!$C$26,IF(O45&lt;=Parameter!$C$21,0.42*O45-Parameter!$C$27,0.45*O45-Parameter!$C$28)))))</f>
        <v>12859.7638247732</v>
      </c>
      <c r="Q45" s="33" t="n">
        <f aca="false">P45+IF(P45&lt;=(Parameter!$C$30*Parameter!$C$57*Umrechnung!$C$8),0,MIN(Parameter!$C$29*P45,Parameter!$C$31*(P45-(Parameter!$C$30*Parameter!$C$57*Umrechnung!$C$8))))+Eingaben!$C$16*P45</f>
        <v>12859.7638247732</v>
      </c>
      <c r="R45" s="33" t="n">
        <f aca="false">E45-I45-(Umrechnung!$C$14-Q45)</f>
        <v>1979.99999050494</v>
      </c>
    </row>
    <row r="46" customFormat="false" ht="15" hidden="false" customHeight="false" outlineLevel="0" collapsed="false">
      <c r="B46" s="30" t="s">
        <v>464</v>
      </c>
      <c r="C46" s="31" t="n">
        <f aca="false">IF(R45&lt;Umrechnung!$C$9,E45,C45)</f>
        <v>3597.91154041886</v>
      </c>
      <c r="D46" s="31" t="n">
        <f aca="false">IF(R45&lt;Umrechnung!$C$9,D45,E45)</f>
        <v>3597.91181981564</v>
      </c>
      <c r="E46" s="31" t="n">
        <f aca="false">(C46+D46)/2</f>
        <v>3597.91168011725</v>
      </c>
      <c r="F46" s="31" t="n">
        <f aca="false">MIN(E46,Parameter!$C$43*Umrechnung!$C$6)</f>
        <v>3597.91168011725</v>
      </c>
      <c r="G46" s="31" t="n">
        <f aca="false">MIN(Umrechnung!$C$5,Umrechnung!$C$6)-MIN(Umrechnung!$C$5-F46,Umrechnung!$C$6)</f>
        <v>3597.91168011725</v>
      </c>
      <c r="H46" s="31" t="n">
        <f aca="false">MIN(Umrechnung!$C$5,Umrechnung!$C$7)-MIN(Umrechnung!$C$5-F46,Umrechnung!$C$7)</f>
        <v>0</v>
      </c>
      <c r="I46" s="31" t="n">
        <f aca="false">G46*(Parameter!$C$10+Parameter!$C$11)+H46*((Parameter!$C$12+Parameter!$C$13)/2+Parameter!$C$58)</f>
        <v>381.378638092428</v>
      </c>
      <c r="J46" s="31" t="n">
        <f aca="false">G46*(Parameter!$C$10+Parameter!$C$11)+H46*((Parameter!$C$12+Parameter!$C$13)/2+Parameter!$C$15)</f>
        <v>381.378638092428</v>
      </c>
      <c r="K46" s="31" t="n">
        <f aca="false">IF(Eingaben!$C$27=2,MIN(Eingaben!$C$26*E46,J46),Eingaben!$C$26*IF(Eingaben!$C$27=1,F46,E46))</f>
        <v>381.378638092428</v>
      </c>
      <c r="L46" s="31" t="n">
        <f aca="false">MIN(E46,MAX(0,Parameter!$C$42*Umrechnung!$C$6-K46))</f>
        <v>3597.91168011725</v>
      </c>
      <c r="M46" s="31" t="n">
        <f aca="false">MIN(Umrechnung!$C$5-F46,Umrechnung!$C$6)*Parameter!$C$10+MIN(Umrechnung!$C$5-F46,Umrechnung!$C$7)*(0.96*(Parameter!$C$12+Parameter!$C$13)/2+Parameter!$C$58)</f>
        <v>13754.8942137491</v>
      </c>
      <c r="N46" s="31" t="n">
        <f aca="false">MAX(0,Umrechnung!$C$5-L46-Parameter!$C$32-Parameter!$C$33-M46)</f>
        <v>56381.1941061337</v>
      </c>
      <c r="O46" s="31" t="n">
        <f aca="false">MAX(0,(N46+IF(Eingaben!$C$14=3,Eingaben!$C$15,0))/Parameter!$C$57/Umrechnung!$C$8)</f>
        <v>56381.1941061337</v>
      </c>
      <c r="P46" s="31" t="n">
        <f aca="false">Parameter!$C$57*Umrechnung!$C$8*(IF(O46&lt;=Parameter!$C$18,0,IF(O46&lt;=Parameter!$C$19,(Parameter!$C$22*(O46-Parameter!$C$18)/10000+Parameter!$C$23)*(O46-Parameter!$C$18)/10000,IF(O46&lt;=Parameter!$C$20,(Parameter!$C$24*(O46-Parameter!$C$19)/10000+Parameter!$C$25)*(O46-Parameter!$C$19)/10000+Parameter!$C$26,IF(O46&lt;=Parameter!$C$21,0.42*O46-Parameter!$C$27,0.45*O46-Parameter!$C$28)))))</f>
        <v>12859.7637774773</v>
      </c>
      <c r="Q46" s="31" t="n">
        <f aca="false">P46+IF(P46&lt;=(Parameter!$C$30*Parameter!$C$57*Umrechnung!$C$8),0,MIN(Parameter!$C$29*P46,Parameter!$C$31*(P46-(Parameter!$C$30*Parameter!$C$57*Umrechnung!$C$8))))+Eingaben!$C$16*P46</f>
        <v>12859.7637774773</v>
      </c>
      <c r="R46" s="31" t="n">
        <f aca="false">E46-I46-(Umrechnung!$C$14-Q46)</f>
        <v>1980.00006809939</v>
      </c>
    </row>
    <row r="47" customFormat="false" ht="15" hidden="false" customHeight="false" outlineLevel="0" collapsed="false">
      <c r="B47" s="32" t="s">
        <v>465</v>
      </c>
      <c r="C47" s="33" t="n">
        <f aca="false">IF(R46&lt;Umrechnung!$C$9,E46,C46)</f>
        <v>3597.91154041886</v>
      </c>
      <c r="D47" s="33" t="n">
        <f aca="false">IF(R46&lt;Umrechnung!$C$9,D46,E46)</f>
        <v>3597.91168011725</v>
      </c>
      <c r="E47" s="33" t="n">
        <f aca="false">(C47+D47)/2</f>
        <v>3597.91161026806</v>
      </c>
      <c r="F47" s="33" t="n">
        <f aca="false">MIN(E47,Parameter!$C$43*Umrechnung!$C$6)</f>
        <v>3597.91161026806</v>
      </c>
      <c r="G47" s="33" t="n">
        <f aca="false">MIN(Umrechnung!$C$5,Umrechnung!$C$6)-MIN(Umrechnung!$C$5-F47,Umrechnung!$C$6)</f>
        <v>3597.91161026806</v>
      </c>
      <c r="H47" s="33" t="n">
        <f aca="false">MIN(Umrechnung!$C$5,Umrechnung!$C$7)-MIN(Umrechnung!$C$5-F47,Umrechnung!$C$7)</f>
        <v>0</v>
      </c>
      <c r="I47" s="33" t="n">
        <f aca="false">G47*(Parameter!$C$10+Parameter!$C$11)+H47*((Parameter!$C$12+Parameter!$C$13)/2+Parameter!$C$58)</f>
        <v>381.378630688414</v>
      </c>
      <c r="J47" s="33" t="n">
        <f aca="false">G47*(Parameter!$C$10+Parameter!$C$11)+H47*((Parameter!$C$12+Parameter!$C$13)/2+Parameter!$C$15)</f>
        <v>381.378630688414</v>
      </c>
      <c r="K47" s="33" t="n">
        <f aca="false">IF(Eingaben!$C$27=2,MIN(Eingaben!$C$26*E47,J47),Eingaben!$C$26*IF(Eingaben!$C$27=1,F47,E47))</f>
        <v>381.378630688414</v>
      </c>
      <c r="L47" s="33" t="n">
        <f aca="false">MIN(E47,MAX(0,Parameter!$C$42*Umrechnung!$C$6-K47))</f>
        <v>3597.91161026806</v>
      </c>
      <c r="M47" s="33" t="n">
        <f aca="false">MIN(Umrechnung!$C$5-F47,Umrechnung!$C$6)*Parameter!$C$10+MIN(Umrechnung!$C$5-F47,Umrechnung!$C$7)*(0.96*(Parameter!$C$12+Parameter!$C$13)/2+Parameter!$C$58)</f>
        <v>13754.8942202451</v>
      </c>
      <c r="N47" s="33" t="n">
        <f aca="false">MAX(0,Umrechnung!$C$5-L47-Parameter!$C$32-Parameter!$C$33-M47)</f>
        <v>56381.1941694869</v>
      </c>
      <c r="O47" s="33" t="n">
        <f aca="false">MAX(0,(N47+IF(Eingaben!$C$14=3,Eingaben!$C$15,0))/Parameter!$C$57/Umrechnung!$C$8)</f>
        <v>56381.1941694869</v>
      </c>
      <c r="P47" s="33" t="n">
        <f aca="false">Parameter!$C$57*Umrechnung!$C$8*(IF(O47&lt;=Parameter!$C$18,0,IF(O47&lt;=Parameter!$C$19,(Parameter!$C$22*(O47-Parameter!$C$18)/10000+Parameter!$C$23)*(O47-Parameter!$C$18)/10000,IF(O47&lt;=Parameter!$C$20,(Parameter!$C$24*(O47-Parameter!$C$19)/10000+Parameter!$C$25)*(O47-Parameter!$C$19)/10000+Parameter!$C$26,IF(O47&lt;=Parameter!$C$21,0.42*O47-Parameter!$C$27,0.45*O47-Parameter!$C$28)))))</f>
        <v>12859.7638011253</v>
      </c>
      <c r="Q47" s="33" t="n">
        <f aca="false">P47+IF(P47&lt;=(Parameter!$C$30*Parameter!$C$57*Umrechnung!$C$8),0,MIN(Parameter!$C$29*P47,Parameter!$C$31*(P47-(Parameter!$C$30*Parameter!$C$57*Umrechnung!$C$8))))+Eingaben!$C$16*P47</f>
        <v>12859.7638011253</v>
      </c>
      <c r="R47" s="33" t="n">
        <f aca="false">E47-I47-(Umrechnung!$C$14-Q47)</f>
        <v>1980.00002930217</v>
      </c>
    </row>
    <row r="48" customFormat="false" ht="15" hidden="false" customHeight="false" outlineLevel="0" collapsed="false">
      <c r="B48" s="30" t="s">
        <v>466</v>
      </c>
      <c r="C48" s="31" t="n">
        <f aca="false">IF(R47&lt;Umrechnung!$C$9,E47,C47)</f>
        <v>3597.91154041886</v>
      </c>
      <c r="D48" s="31" t="n">
        <f aca="false">IF(R47&lt;Umrechnung!$C$9,D47,E47)</f>
        <v>3597.91161026806</v>
      </c>
      <c r="E48" s="31" t="n">
        <f aca="false">(C48+D48)/2</f>
        <v>3597.91157534346</v>
      </c>
      <c r="F48" s="31" t="n">
        <f aca="false">MIN(E48,Parameter!$C$43*Umrechnung!$C$6)</f>
        <v>3597.91157534346</v>
      </c>
      <c r="G48" s="31" t="n">
        <f aca="false">MIN(Umrechnung!$C$5,Umrechnung!$C$6)-MIN(Umrechnung!$C$5-F48,Umrechnung!$C$6)</f>
        <v>3597.91157534346</v>
      </c>
      <c r="H48" s="31" t="n">
        <f aca="false">MIN(Umrechnung!$C$5,Umrechnung!$C$7)-MIN(Umrechnung!$C$5-F48,Umrechnung!$C$7)</f>
        <v>0</v>
      </c>
      <c r="I48" s="31" t="n">
        <f aca="false">G48*(Parameter!$C$10+Parameter!$C$11)+H48*((Parameter!$C$12+Parameter!$C$13)/2+Parameter!$C$58)</f>
        <v>381.378626986407</v>
      </c>
      <c r="J48" s="31" t="n">
        <f aca="false">G48*(Parameter!$C$10+Parameter!$C$11)+H48*((Parameter!$C$12+Parameter!$C$13)/2+Parameter!$C$15)</f>
        <v>381.378626986407</v>
      </c>
      <c r="K48" s="31" t="n">
        <f aca="false">IF(Eingaben!$C$27=2,MIN(Eingaben!$C$26*E48,J48),Eingaben!$C$26*IF(Eingaben!$C$27=1,F48,E48))</f>
        <v>381.378626986407</v>
      </c>
      <c r="L48" s="31" t="n">
        <f aca="false">MIN(E48,MAX(0,Parameter!$C$42*Umrechnung!$C$6-K48))</f>
        <v>3597.91157534346</v>
      </c>
      <c r="M48" s="31" t="n">
        <f aca="false">MIN(Umrechnung!$C$5-F48,Umrechnung!$C$6)*Parameter!$C$10+MIN(Umrechnung!$C$5-F48,Umrechnung!$C$7)*(0.96*(Parameter!$C$12+Parameter!$C$13)/2+Parameter!$C$58)</f>
        <v>13754.8942234931</v>
      </c>
      <c r="N48" s="31" t="n">
        <f aca="false">MAX(0,Umrechnung!$C$5-L48-Parameter!$C$32-Parameter!$C$33-M48)</f>
        <v>56381.1942011635</v>
      </c>
      <c r="O48" s="31" t="n">
        <f aca="false">MAX(0,(N48+IF(Eingaben!$C$14=3,Eingaben!$C$15,0))/Parameter!$C$57/Umrechnung!$C$8)</f>
        <v>56381.1942011635</v>
      </c>
      <c r="P48" s="31" t="n">
        <f aca="false">Parameter!$C$57*Umrechnung!$C$8*(IF(O48&lt;=Parameter!$C$18,0,IF(O48&lt;=Parameter!$C$19,(Parameter!$C$22*(O48-Parameter!$C$18)/10000+Parameter!$C$23)*(O48-Parameter!$C$18)/10000,IF(O48&lt;=Parameter!$C$20,(Parameter!$C$24*(O48-Parameter!$C$19)/10000+Parameter!$C$25)*(O48-Parameter!$C$19)/10000+Parameter!$C$26,IF(O48&lt;=Parameter!$C$21,0.42*O48-Parameter!$C$27,0.45*O48-Parameter!$C$28)))))</f>
        <v>12859.7638129492</v>
      </c>
      <c r="Q48" s="31" t="n">
        <f aca="false">P48+IF(P48&lt;=(Parameter!$C$30*Parameter!$C$57*Umrechnung!$C$8),0,MIN(Parameter!$C$29*P48,Parameter!$C$31*(P48-(Parameter!$C$30*Parameter!$C$57*Umrechnung!$C$8))))+Eingaben!$C$16*P48</f>
        <v>12859.7638129492</v>
      </c>
      <c r="R48" s="31" t="n">
        <f aca="false">E48-I48-(Umrechnung!$C$14-Q48)</f>
        <v>1980.00000990355</v>
      </c>
    </row>
    <row r="49" customFormat="false" ht="15" hidden="false" customHeight="false" outlineLevel="0" collapsed="false">
      <c r="B49" s="32" t="s">
        <v>467</v>
      </c>
      <c r="C49" s="33" t="n">
        <f aca="false">IF(R48&lt;Umrechnung!$C$9,E48,C48)</f>
        <v>3597.91154041886</v>
      </c>
      <c r="D49" s="33" t="n">
        <f aca="false">IF(R48&lt;Umrechnung!$C$9,D48,E48)</f>
        <v>3597.91157534346</v>
      </c>
      <c r="E49" s="33" t="n">
        <f aca="false">(C49+D49)/2</f>
        <v>3597.91155788116</v>
      </c>
      <c r="F49" s="33" t="n">
        <f aca="false">MIN(E49,Parameter!$C$43*Umrechnung!$C$6)</f>
        <v>3597.91155788116</v>
      </c>
      <c r="G49" s="33" t="n">
        <f aca="false">MIN(Umrechnung!$C$5,Umrechnung!$C$6)-MIN(Umrechnung!$C$5-F49,Umrechnung!$C$6)</f>
        <v>3597.91155788116</v>
      </c>
      <c r="H49" s="33" t="n">
        <f aca="false">MIN(Umrechnung!$C$5,Umrechnung!$C$7)-MIN(Umrechnung!$C$5-F49,Umrechnung!$C$7)</f>
        <v>0</v>
      </c>
      <c r="I49" s="33" t="n">
        <f aca="false">G49*(Parameter!$C$10+Parameter!$C$11)+H49*((Parameter!$C$12+Parameter!$C$13)/2+Parameter!$C$58)</f>
        <v>381.378625135403</v>
      </c>
      <c r="J49" s="33" t="n">
        <f aca="false">G49*(Parameter!$C$10+Parameter!$C$11)+H49*((Parameter!$C$12+Parameter!$C$13)/2+Parameter!$C$15)</f>
        <v>381.378625135403</v>
      </c>
      <c r="K49" s="33" t="n">
        <f aca="false">IF(Eingaben!$C$27=2,MIN(Eingaben!$C$26*E49,J49),Eingaben!$C$26*IF(Eingaben!$C$27=1,F49,E49))</f>
        <v>381.378625135403</v>
      </c>
      <c r="L49" s="33" t="n">
        <f aca="false">MIN(E49,MAX(0,Parameter!$C$42*Umrechnung!$C$6-K49))</f>
        <v>3597.91155788116</v>
      </c>
      <c r="M49" s="33" t="n">
        <f aca="false">MIN(Umrechnung!$C$5-F49,Umrechnung!$C$6)*Parameter!$C$10+MIN(Umrechnung!$C$5-F49,Umrechnung!$C$7)*(0.96*(Parameter!$C$12+Parameter!$C$13)/2+Parameter!$C$58)</f>
        <v>13754.8942251171</v>
      </c>
      <c r="N49" s="33" t="n">
        <f aca="false">MAX(0,Umrechnung!$C$5-L49-Parameter!$C$32-Parameter!$C$33-M49)</f>
        <v>56381.1942170018</v>
      </c>
      <c r="O49" s="33" t="n">
        <f aca="false">MAX(0,(N49+IF(Eingaben!$C$14=3,Eingaben!$C$15,0))/Parameter!$C$57/Umrechnung!$C$8)</f>
        <v>56381.1942170018</v>
      </c>
      <c r="P49" s="33" t="n">
        <f aca="false">Parameter!$C$57*Umrechnung!$C$8*(IF(O49&lt;=Parameter!$C$18,0,IF(O49&lt;=Parameter!$C$19,(Parameter!$C$22*(O49-Parameter!$C$18)/10000+Parameter!$C$23)*(O49-Parameter!$C$18)/10000,IF(O49&lt;=Parameter!$C$20,(Parameter!$C$24*(O49-Parameter!$C$19)/10000+Parameter!$C$25)*(O49-Parameter!$C$19)/10000+Parameter!$C$26,IF(O49&lt;=Parameter!$C$21,0.42*O49-Parameter!$C$27,0.45*O49-Parameter!$C$28)))))</f>
        <v>12859.7638188612</v>
      </c>
      <c r="Q49" s="33" t="n">
        <f aca="false">P49+IF(P49&lt;=(Parameter!$C$30*Parameter!$C$57*Umrechnung!$C$8),0,MIN(Parameter!$C$29*P49,Parameter!$C$31*(P49-(Parameter!$C$30*Parameter!$C$57*Umrechnung!$C$8))))+Eingaben!$C$16*P49</f>
        <v>12859.7638188612</v>
      </c>
      <c r="R49" s="33" t="n">
        <f aca="false">E49-I49-(Umrechnung!$C$14-Q49)</f>
        <v>1980.00000020425</v>
      </c>
    </row>
    <row r="50" customFormat="false" ht="15" hidden="false" customHeight="false" outlineLevel="0" collapsed="false">
      <c r="B50" s="30" t="s">
        <v>468</v>
      </c>
      <c r="C50" s="31" t="n">
        <f aca="false">IF(R49&lt;Umrechnung!$C$9,E49,C49)</f>
        <v>3597.91154041886</v>
      </c>
      <c r="D50" s="31" t="n">
        <f aca="false">IF(R49&lt;Umrechnung!$C$9,D49,E49)</f>
        <v>3597.91155788116</v>
      </c>
      <c r="E50" s="31" t="n">
        <f aca="false">(C50+D50)/2</f>
        <v>3597.91154915001</v>
      </c>
      <c r="F50" s="31" t="n">
        <f aca="false">MIN(E50,Parameter!$C$43*Umrechnung!$C$6)</f>
        <v>3597.91154915001</v>
      </c>
      <c r="G50" s="31" t="n">
        <f aca="false">MIN(Umrechnung!$C$5,Umrechnung!$C$6)-MIN(Umrechnung!$C$5-F50,Umrechnung!$C$6)</f>
        <v>3597.91154915001</v>
      </c>
      <c r="H50" s="31" t="n">
        <f aca="false">MIN(Umrechnung!$C$5,Umrechnung!$C$7)-MIN(Umrechnung!$C$5-F50,Umrechnung!$C$7)</f>
        <v>0</v>
      </c>
      <c r="I50" s="31" t="n">
        <f aca="false">G50*(Parameter!$C$10+Parameter!$C$11)+H50*((Parameter!$C$12+Parameter!$C$13)/2+Parameter!$C$58)</f>
        <v>381.378624209901</v>
      </c>
      <c r="J50" s="31" t="n">
        <f aca="false">G50*(Parameter!$C$10+Parameter!$C$11)+H50*((Parameter!$C$12+Parameter!$C$13)/2+Parameter!$C$15)</f>
        <v>381.378624209901</v>
      </c>
      <c r="K50" s="31" t="n">
        <f aca="false">IF(Eingaben!$C$27=2,MIN(Eingaben!$C$26*E50,J50),Eingaben!$C$26*IF(Eingaben!$C$27=1,F50,E50))</f>
        <v>381.378624209901</v>
      </c>
      <c r="L50" s="31" t="n">
        <f aca="false">MIN(E50,MAX(0,Parameter!$C$42*Umrechnung!$C$6-K50))</f>
        <v>3597.91154915001</v>
      </c>
      <c r="M50" s="31" t="n">
        <f aca="false">MIN(Umrechnung!$C$5-F50,Umrechnung!$C$6)*Parameter!$C$10+MIN(Umrechnung!$C$5-F50,Umrechnung!$C$7)*(0.96*(Parameter!$C$12+Parameter!$C$13)/2+Parameter!$C$58)</f>
        <v>13754.894225929</v>
      </c>
      <c r="N50" s="31" t="n">
        <f aca="false">MAX(0,Umrechnung!$C$5-L50-Parameter!$C$32-Parameter!$C$33-M50)</f>
        <v>56381.1942249209</v>
      </c>
      <c r="O50" s="31" t="n">
        <f aca="false">MAX(0,(N50+IF(Eingaben!$C$14=3,Eingaben!$C$15,0))/Parameter!$C$57/Umrechnung!$C$8)</f>
        <v>56381.1942249209</v>
      </c>
      <c r="P50" s="31" t="n">
        <f aca="false">Parameter!$C$57*Umrechnung!$C$8*(IF(O50&lt;=Parameter!$C$18,0,IF(O50&lt;=Parameter!$C$19,(Parameter!$C$22*(O50-Parameter!$C$18)/10000+Parameter!$C$23)*(O50-Parameter!$C$18)/10000,IF(O50&lt;=Parameter!$C$20,(Parameter!$C$24*(O50-Parameter!$C$19)/10000+Parameter!$C$25)*(O50-Parameter!$C$19)/10000+Parameter!$C$26,IF(O50&lt;=Parameter!$C$21,0.42*O50-Parameter!$C$27,0.45*O50-Parameter!$C$28)))))</f>
        <v>12859.7638218172</v>
      </c>
      <c r="Q50" s="31" t="n">
        <f aca="false">P50+IF(P50&lt;=(Parameter!$C$30*Parameter!$C$57*Umrechnung!$C$8),0,MIN(Parameter!$C$29*P50,Parameter!$C$31*(P50-(Parameter!$C$30*Parameter!$C$57*Umrechnung!$C$8))))+Eingaben!$C$16*P50</f>
        <v>12859.7638218172</v>
      </c>
      <c r="R50" s="31" t="n">
        <f aca="false">E50-I50-(Umrechnung!$C$14-Q50)</f>
        <v>1979.99999535459</v>
      </c>
    </row>
    <row r="51" customFormat="false" ht="15" hidden="false" customHeight="false" outlineLevel="0" collapsed="false">
      <c r="B51" s="32" t="s">
        <v>469</v>
      </c>
      <c r="C51" s="33" t="n">
        <f aca="false">IF(R50&lt;Umrechnung!$C$9,E50,C50)</f>
        <v>3597.91154915001</v>
      </c>
      <c r="D51" s="33" t="n">
        <f aca="false">IF(R50&lt;Umrechnung!$C$9,D50,E50)</f>
        <v>3597.91155788116</v>
      </c>
      <c r="E51" s="33" t="n">
        <f aca="false">(C51+D51)/2</f>
        <v>3597.91155351559</v>
      </c>
      <c r="F51" s="33" t="n">
        <f aca="false">MIN(E51,Parameter!$C$43*Umrechnung!$C$6)</f>
        <v>3597.91155351559</v>
      </c>
      <c r="G51" s="33" t="n">
        <f aca="false">MIN(Umrechnung!$C$5,Umrechnung!$C$6)-MIN(Umrechnung!$C$5-F51,Umrechnung!$C$6)</f>
        <v>3597.91155351559</v>
      </c>
      <c r="H51" s="33" t="n">
        <f aca="false">MIN(Umrechnung!$C$5,Umrechnung!$C$7)-MIN(Umrechnung!$C$5-F51,Umrechnung!$C$7)</f>
        <v>0</v>
      </c>
      <c r="I51" s="33" t="n">
        <f aca="false">G51*(Parameter!$C$10+Parameter!$C$11)+H51*((Parameter!$C$12+Parameter!$C$13)/2+Parameter!$C$58)</f>
        <v>381.378624672652</v>
      </c>
      <c r="J51" s="33" t="n">
        <f aca="false">G51*(Parameter!$C$10+Parameter!$C$11)+H51*((Parameter!$C$12+Parameter!$C$13)/2+Parameter!$C$15)</f>
        <v>381.378624672652</v>
      </c>
      <c r="K51" s="33" t="n">
        <f aca="false">IF(Eingaben!$C$27=2,MIN(Eingaben!$C$26*E51,J51),Eingaben!$C$26*IF(Eingaben!$C$27=1,F51,E51))</f>
        <v>381.378624672652</v>
      </c>
      <c r="L51" s="33" t="n">
        <f aca="false">MIN(E51,MAX(0,Parameter!$C$42*Umrechnung!$C$6-K51))</f>
        <v>3597.91155351559</v>
      </c>
      <c r="M51" s="33" t="n">
        <f aca="false">MIN(Umrechnung!$C$5-F51,Umrechnung!$C$6)*Parameter!$C$10+MIN(Umrechnung!$C$5-F51,Umrechnung!$C$7)*(0.96*(Parameter!$C$12+Parameter!$C$13)/2+Parameter!$C$58)</f>
        <v>13754.8942255231</v>
      </c>
      <c r="N51" s="33" t="n">
        <f aca="false">MAX(0,Umrechnung!$C$5-L51-Parameter!$C$32-Parameter!$C$33-M51)</f>
        <v>56381.1942209614</v>
      </c>
      <c r="O51" s="33" t="n">
        <f aca="false">MAX(0,(N51+IF(Eingaben!$C$14=3,Eingaben!$C$15,0))/Parameter!$C$57/Umrechnung!$C$8)</f>
        <v>56381.1942209614</v>
      </c>
      <c r="P51" s="33" t="n">
        <f aca="false">Parameter!$C$57*Umrechnung!$C$8*(IF(O51&lt;=Parameter!$C$18,0,IF(O51&lt;=Parameter!$C$19,(Parameter!$C$22*(O51-Parameter!$C$18)/10000+Parameter!$C$23)*(O51-Parameter!$C$18)/10000,IF(O51&lt;=Parameter!$C$20,(Parameter!$C$24*(O51-Parameter!$C$19)/10000+Parameter!$C$25)*(O51-Parameter!$C$19)/10000+Parameter!$C$26,IF(O51&lt;=Parameter!$C$21,0.42*O51-Parameter!$C$27,0.45*O51-Parameter!$C$28)))))</f>
        <v>12859.7638203392</v>
      </c>
      <c r="Q51" s="33" t="n">
        <f aca="false">P51+IF(P51&lt;=(Parameter!$C$30*Parameter!$C$57*Umrechnung!$C$8),0,MIN(Parameter!$C$29*P51,Parameter!$C$31*(P51-(Parameter!$C$30*Parameter!$C$57*Umrechnung!$C$8))))+Eingaben!$C$16*P51</f>
        <v>12859.7638203392</v>
      </c>
      <c r="R51" s="33" t="n">
        <f aca="false">E51-I51-(Umrechnung!$C$14-Q51)</f>
        <v>1979.99999777942</v>
      </c>
    </row>
    <row r="53" customFormat="false" ht="15" hidden="false" customHeight="false" outlineLevel="0" collapsed="false">
      <c r="B53" s="19" t="s">
        <v>470</v>
      </c>
      <c r="C53" s="18" t="n">
        <f aca="false">(C51+D51)/2</f>
        <v>3597.91155351559</v>
      </c>
      <c r="D53" s="13" t="s">
        <v>471</v>
      </c>
    </row>
    <row r="54" customFormat="false" ht="15" hidden="false" customHeight="false" outlineLevel="0" collapsed="false">
      <c r="B54" s="19" t="s">
        <v>472</v>
      </c>
      <c r="C54" s="18" t="n">
        <f aca="false">Umrechnung!$C$53/12</f>
        <v>299.825962792966</v>
      </c>
      <c r="D54" s="13" t="s">
        <v>473</v>
      </c>
    </row>
    <row r="55" customFormat="false" ht="15" hidden="false" customHeight="false" outlineLevel="0" collapsed="false">
      <c r="B55" s="19" t="s">
        <v>474</v>
      </c>
      <c r="C55" s="34" t="n">
        <f aca="false">R51-Umrechnung!$C$9</f>
        <v>-2.2205822460819E-006</v>
      </c>
      <c r="D55" s="13" t="s">
        <v>475</v>
      </c>
    </row>
    <row r="56" customFormat="false" ht="15" hidden="false" customHeight="false" outlineLevel="0" collapsed="false">
      <c r="B56" s="19" t="s">
        <v>476</v>
      </c>
      <c r="C56" s="35" t="str">
        <f aca="false">IF(Eingaben!$C$22&lt;&gt;2,"nicht aktiv (Modus 1)",IF(ABS(Umrechnung!$C$55)&gt;0.01,"ZIELWERT NICHT ERREICHBAR - Nettoaufwand uebersteigt das Gehalt","ok"))</f>
        <v>nicht aktiv (Modus 1)</v>
      </c>
      <c r="D56" s="13"/>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J5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8"/>
    <col collapsed="false" customWidth="true" hidden="false" outlineLevel="0" max="4" min="2" style="0" width="7"/>
    <col collapsed="false" customWidth="true" hidden="false" outlineLevel="0" max="7" min="5" style="0" width="8"/>
    <col collapsed="false" customWidth="true" hidden="false" outlineLevel="0" max="15" min="8" style="0" width="11"/>
    <col collapsed="false" customWidth="true" hidden="false" outlineLevel="0" max="17" min="16" style="0" width="12"/>
    <col collapsed="false" customWidth="true" hidden="false" outlineLevel="0" max="21" min="18" style="0" width="11"/>
    <col collapsed="false" customWidth="true" hidden="false" outlineLevel="0" max="23" min="22" style="0" width="12"/>
    <col collapsed="false" customWidth="true" hidden="false" outlineLevel="0" max="32" min="24" style="0" width="11"/>
    <col collapsed="false" customWidth="true" hidden="false" outlineLevel="0" max="34" min="33" style="0" width="12"/>
    <col collapsed="false" customWidth="true" hidden="false" outlineLevel="0" max="37" min="35" style="0" width="10"/>
    <col collapsed="false" customWidth="true" hidden="false" outlineLevel="0" max="42" min="38" style="0" width="11"/>
    <col collapsed="false" customWidth="true" hidden="false" outlineLevel="0" max="43" min="43" style="0" width="12"/>
    <col collapsed="false" customWidth="true" hidden="false" outlineLevel="0" max="45" min="44" style="0" width="11"/>
    <col collapsed="false" customWidth="true" hidden="false" outlineLevel="0" max="48" min="46" style="0" width="12"/>
    <col collapsed="false" customWidth="true" hidden="false" outlineLevel="0" max="52" min="49" style="0" width="13"/>
    <col collapsed="false" customWidth="true" hidden="false" outlineLevel="0" max="54" min="53" style="0" width="12"/>
    <col collapsed="false" customWidth="true" hidden="false" outlineLevel="0" max="56" min="55" style="0" width="11"/>
    <col collapsed="false" customWidth="true" hidden="false" outlineLevel="0" max="57" min="57" style="0" width="13"/>
    <col collapsed="false" customWidth="true" hidden="false" outlineLevel="0" max="58" min="58" style="0" width="12"/>
    <col collapsed="false" customWidth="true" hidden="false" outlineLevel="0" max="59" min="59" style="0" width="11"/>
    <col collapsed="false" customWidth="true" hidden="false" outlineLevel="0" max="60" min="60" style="0" width="12"/>
    <col collapsed="false" customWidth="true" hidden="false" outlineLevel="0" max="61" min="61" style="0" width="10"/>
    <col collapsed="false" customWidth="true" hidden="false" outlineLevel="0" max="62" min="62" style="0" width="11"/>
  </cols>
  <sheetData>
    <row r="1" customFormat="false" ht="17.35" hidden="false" customHeight="false" outlineLevel="0" collapsed="false">
      <c r="A1" s="1" t="s">
        <v>477</v>
      </c>
    </row>
    <row r="2" customFormat="false" ht="15" hidden="false" customHeight="false" outlineLevel="0" collapsed="false">
      <c r="A2" s="36" t="s">
        <v>478</v>
      </c>
    </row>
    <row r="7" customFormat="false" ht="33.75" hidden="false" customHeight="true" outlineLevel="0" collapsed="false">
      <c r="A7" s="37" t="s">
        <v>479</v>
      </c>
      <c r="B7" s="37" t="s">
        <v>480</v>
      </c>
      <c r="C7" s="37" t="s">
        <v>481</v>
      </c>
      <c r="D7" s="37" t="s">
        <v>482</v>
      </c>
      <c r="E7" s="37" t="s">
        <v>483</v>
      </c>
      <c r="F7" s="37" t="s">
        <v>484</v>
      </c>
      <c r="G7" s="37" t="s">
        <v>485</v>
      </c>
      <c r="H7" s="37" t="s">
        <v>486</v>
      </c>
      <c r="I7" s="37" t="s">
        <v>487</v>
      </c>
      <c r="J7" s="37" t="s">
        <v>488</v>
      </c>
      <c r="K7" s="37" t="s">
        <v>489</v>
      </c>
      <c r="L7" s="37" t="s">
        <v>490</v>
      </c>
      <c r="M7" s="37" t="s">
        <v>491</v>
      </c>
      <c r="N7" s="37" t="s">
        <v>492</v>
      </c>
      <c r="O7" s="37" t="s">
        <v>493</v>
      </c>
      <c r="P7" s="37" t="s">
        <v>494</v>
      </c>
      <c r="Q7" s="37" t="s">
        <v>495</v>
      </c>
      <c r="R7" s="37" t="s">
        <v>496</v>
      </c>
      <c r="S7" s="37" t="s">
        <v>497</v>
      </c>
      <c r="T7" s="37" t="s">
        <v>498</v>
      </c>
      <c r="U7" s="37" t="s">
        <v>499</v>
      </c>
      <c r="V7" s="37" t="s">
        <v>500</v>
      </c>
      <c r="W7" s="37" t="s">
        <v>501</v>
      </c>
      <c r="X7" s="37" t="s">
        <v>502</v>
      </c>
      <c r="Y7" s="37" t="s">
        <v>503</v>
      </c>
      <c r="Z7" s="37" t="s">
        <v>504</v>
      </c>
      <c r="AA7" s="37" t="s">
        <v>505</v>
      </c>
      <c r="AB7" s="37" t="s">
        <v>506</v>
      </c>
      <c r="AC7" s="37" t="s">
        <v>507</v>
      </c>
      <c r="AD7" s="37" t="s">
        <v>508</v>
      </c>
      <c r="AE7" s="37" t="s">
        <v>509</v>
      </c>
      <c r="AF7" s="37" t="s">
        <v>510</v>
      </c>
      <c r="AG7" s="37" t="s">
        <v>511</v>
      </c>
      <c r="AH7" s="37" t="s">
        <v>512</v>
      </c>
      <c r="AI7" s="37" t="s">
        <v>513</v>
      </c>
      <c r="AJ7" s="37" t="s">
        <v>514</v>
      </c>
      <c r="AK7" s="37" t="s">
        <v>515</v>
      </c>
      <c r="AL7" s="37" t="s">
        <v>516</v>
      </c>
      <c r="AM7" s="37" t="s">
        <v>517</v>
      </c>
      <c r="AN7" s="37" t="s">
        <v>518</v>
      </c>
      <c r="AO7" s="37" t="s">
        <v>519</v>
      </c>
      <c r="AP7" s="37" t="s">
        <v>520</v>
      </c>
      <c r="AQ7" s="37" t="s">
        <v>521</v>
      </c>
      <c r="AR7" s="37" t="s">
        <v>522</v>
      </c>
      <c r="AS7" s="37" t="s">
        <v>523</v>
      </c>
      <c r="AT7" s="37" t="s">
        <v>524</v>
      </c>
      <c r="AU7" s="37" t="s">
        <v>525</v>
      </c>
      <c r="AV7" s="37" t="s">
        <v>526</v>
      </c>
      <c r="AW7" s="37" t="s">
        <v>527</v>
      </c>
      <c r="AX7" s="37" t="s">
        <v>528</v>
      </c>
      <c r="AY7" s="37" t="s">
        <v>529</v>
      </c>
      <c r="AZ7" s="37" t="s">
        <v>530</v>
      </c>
      <c r="BA7" s="37" t="s">
        <v>531</v>
      </c>
      <c r="BB7" s="37" t="s">
        <v>532</v>
      </c>
      <c r="BC7" s="37" t="s">
        <v>533</v>
      </c>
      <c r="BD7" s="37" t="s">
        <v>534</v>
      </c>
      <c r="BE7" s="37" t="s">
        <v>535</v>
      </c>
      <c r="BF7" s="37" t="s">
        <v>536</v>
      </c>
      <c r="BG7" s="37" t="s">
        <v>537</v>
      </c>
      <c r="BH7" s="37" t="s">
        <v>538</v>
      </c>
      <c r="BI7" s="37" t="s">
        <v>539</v>
      </c>
      <c r="BJ7" s="37" t="s">
        <v>540</v>
      </c>
    </row>
    <row r="8" customFormat="false" ht="15" hidden="false" customHeight="false" outlineLevel="0" collapsed="false">
      <c r="A8" s="30" t="n">
        <f aca="false">2026+0</f>
        <v>2026</v>
      </c>
      <c r="B8" s="30" t="n">
        <f aca="false">Eingaben!$C$5+0</f>
        <v>40</v>
      </c>
      <c r="C8" s="30" t="n">
        <f aca="false">IF(AND(B8&lt;Eingaben!$C$8,B8&lt;Eingaben!$C$6),1,0)</f>
        <v>1</v>
      </c>
      <c r="D8" s="30" t="n">
        <f aca="false">IF(B8&lt;Eingaben!$C$6,1,0)</f>
        <v>1</v>
      </c>
      <c r="E8" s="38" t="n">
        <f aca="false">(1+Eingaben!$C$13)^0</f>
        <v>1</v>
      </c>
      <c r="F8" s="38" t="n">
        <f aca="false">(1+Eingaben!$C$17)^0</f>
        <v>1</v>
      </c>
      <c r="G8" s="39" t="n">
        <f aca="false">IF(B8&gt;=Eingaben!$C$9,Eingaben!$C$10,1)</f>
        <v>1</v>
      </c>
      <c r="H8" s="40" t="n">
        <f aca="false">Eingaben!$C$12*E8*G8*C8</f>
        <v>75000</v>
      </c>
      <c r="I8" s="40" t="n">
        <f aca="false">Parameter!$C$4*E8</f>
        <v>101400</v>
      </c>
      <c r="J8" s="40" t="n">
        <f aca="false">Parameter!$C$5*E8</f>
        <v>69750</v>
      </c>
      <c r="K8" s="40" t="n">
        <f aca="false">MIN(H8,12*(IF(Eingaben!$C$22=2,Umrechnung!$C$54,Eingaben!$C$23))*IF(Eingaben!$C$25=1,E8,1))*C8</f>
        <v>3600</v>
      </c>
      <c r="L8" s="40" t="n">
        <f aca="false">MIN(K8,MAX(0,Parameter!$C$42*I8-N8))</f>
        <v>3600</v>
      </c>
      <c r="M8" s="40" t="n">
        <f aca="false">MIN(K8,Parameter!$C$43*I8)</f>
        <v>3600</v>
      </c>
      <c r="N8" s="40" t="n">
        <f aca="false">IF(Eingaben!$C$27=2,MIN(Eingaben!$C$26*K8,U8),Eingaben!$C$26*IF(Eingaben!$C$27=1,M8,K8))</f>
        <v>381.6</v>
      </c>
      <c r="O8" s="40" t="n">
        <f aca="false">K8+N8</f>
        <v>3981.6</v>
      </c>
      <c r="P8" s="40" t="n">
        <f aca="false">MIN(O8,Parameter!$C$42*I8)</f>
        <v>3981.6</v>
      </c>
      <c r="Q8" s="40" t="n">
        <f aca="false">O8-P8</f>
        <v>0</v>
      </c>
      <c r="R8" s="40" t="n">
        <f aca="false">MIN(H8,I8)-MIN(H8-M8,I8)</f>
        <v>3600</v>
      </c>
      <c r="S8" s="40" t="n">
        <f aca="false">MIN(H8,J8)-MIN(H8-M8,J8)</f>
        <v>0</v>
      </c>
      <c r="T8" s="40" t="n">
        <f aca="false">R8*(Parameter!$C$10+Parameter!$C$11)+S8*((Parameter!$C$12+Parameter!$C$13)/2+Parameter!$C$58)</f>
        <v>381.6</v>
      </c>
      <c r="U8" s="40" t="n">
        <f aca="false">R8*(Parameter!$C$10+Parameter!$C$11)+S8*((Parameter!$C$12+Parameter!$C$13)/2+Parameter!$C$15)</f>
        <v>381.6</v>
      </c>
      <c r="V8" s="40" t="n">
        <f aca="false">MIN(H8,I8)*Parameter!$C$10+MIN(H8,J8)*(0.96*(Parameter!$C$12+Parameter!$C$13)/2+Parameter!$C$58)</f>
        <v>14089.5</v>
      </c>
      <c r="W8" s="40" t="n">
        <f aca="false">MIN(H8-M8,I8)*Parameter!$C$10+MIN(H8-M8,J8)*(0.96*(Parameter!$C$12+Parameter!$C$13)/2+Parameter!$C$58)</f>
        <v>13754.7</v>
      </c>
      <c r="X8" s="40" t="n">
        <f aca="false">MAX(0,H8-Parameter!$C$32*F8-Parameter!$C$33-V8)</f>
        <v>59644.5</v>
      </c>
      <c r="Y8" s="40" t="n">
        <f aca="false">MAX(0,H8-L8-Parameter!$C$32*F8-Parameter!$C$33-W8)</f>
        <v>56379.3</v>
      </c>
      <c r="Z8" s="40" t="n">
        <f aca="false">MAX(0,(X8+IF(Eingaben!$C$14=3,Eingaben!$C$15,0))/Parameter!$C$57/F8)</f>
        <v>59644.5</v>
      </c>
      <c r="AA8" s="40" t="n">
        <f aca="false">Parameter!$C$57*F8*(IF(Z8&lt;=Parameter!$C$18,0,IF(Z8&lt;=Parameter!$C$19,(Parameter!$C$22*(Z8-Parameter!$C$18)/10000+Parameter!$C$23)*(Z8-Parameter!$C$18)/10000,IF(Z8&lt;=Parameter!$C$20,(Parameter!$C$24*(Z8-Parameter!$C$19)/10000+Parameter!$C$25)*(Z8-Parameter!$C$19)/10000+Parameter!$C$26,IF(Z8&lt;=Parameter!$C$21,0.42*Z8-Parameter!$C$27,0.45*Z8-Parameter!$C$28)))))</f>
        <v>14096.2967514028</v>
      </c>
      <c r="AB8" s="40" t="n">
        <f aca="false">AA8+IF(AA8&lt;=(Parameter!$C$30*Parameter!$C$57*F8),0,MIN(Parameter!$C$29*AA8,Parameter!$C$31*(AA8-(Parameter!$C$30*Parameter!$C$57*F8))))+Eingaben!$C$16*AA8</f>
        <v>14096.2967514028</v>
      </c>
      <c r="AC8" s="40" t="n">
        <f aca="false">MAX(0,(Y8+IF(Eingaben!$C$14=3,Eingaben!$C$15,0))/Parameter!$C$57/F8)</f>
        <v>56379.3</v>
      </c>
      <c r="AD8" s="40" t="n">
        <f aca="false">Parameter!$C$57*F8*(IF(AC8&lt;=Parameter!$C$18,0,IF(AC8&lt;=Parameter!$C$19,(Parameter!$C$22*(AC8-Parameter!$C$18)/10000+Parameter!$C$23)*(AC8-Parameter!$C$18)/10000,IF(AC8&lt;=Parameter!$C$20,(Parameter!$C$24*(AC8-Parameter!$C$19)/10000+Parameter!$C$25)*(AC8-Parameter!$C$19)/10000+Parameter!$C$26,IF(AC8&lt;=Parameter!$C$21,0.42*AC8-Parameter!$C$27,0.45*AC8-Parameter!$C$28)))))</f>
        <v>12859.0567677438</v>
      </c>
      <c r="AE8" s="40" t="n">
        <f aca="false">AD8+IF(AD8&lt;=(Parameter!$C$30*Parameter!$C$57*F8),0,MIN(Parameter!$C$29*AD8,Parameter!$C$31*(AD8-(Parameter!$C$30*Parameter!$C$57*F8))))+Eingaben!$C$16*AD8</f>
        <v>12859.0567677438</v>
      </c>
      <c r="AF8" s="40" t="n">
        <f aca="false">AB8-AE8</f>
        <v>1237.23998365896</v>
      </c>
      <c r="AG8" s="40" t="n">
        <f aca="false">MAX(0,K8-T8-AF8)</f>
        <v>1981.16001634104</v>
      </c>
      <c r="AH8" s="40" t="n">
        <f aca="false">MIN(AG8,Parameter!$C$49)</f>
        <v>1981.16001634104</v>
      </c>
      <c r="AI8" s="40" t="n">
        <f aca="false">Parameter!$C$44*MIN(AH8,Parameter!$C$45)+Parameter!$C$46*MAX(0,MIN(AH8,Parameter!$C$47)-Parameter!$C$45)</f>
        <v>540</v>
      </c>
      <c r="AJ8" s="40" t="n">
        <f aca="false">MIN(AH8,Parameter!$C$48)*Eingaben!$C$18*IF(0&lt;Eingaben!$C$19,1,0)</f>
        <v>0</v>
      </c>
      <c r="AK8" s="40" t="n">
        <f aca="false">MIN(AI8+AJ8,MAX(0,Parameter!$C$49-AH8))</f>
        <v>540</v>
      </c>
      <c r="AL8" s="40" t="n">
        <f aca="false">MIN(MIN(AH8,Parameter!$C$47)+AK8,Parameter!$C$50)</f>
        <v>2340</v>
      </c>
      <c r="AM8" s="40" t="n">
        <f aca="false">MAX(0,X8-AL8)</f>
        <v>57304.5</v>
      </c>
      <c r="AN8" s="40" t="n">
        <f aca="false">MAX(0,(AM8+IF(Eingaben!$C$14=3,Eingaben!$C$15,0))/Parameter!$C$57/F8)</f>
        <v>57304.5</v>
      </c>
      <c r="AO8" s="40" t="n">
        <f aca="false">Parameter!$C$57*F8*(IF(AN8&lt;=Parameter!$C$18,0,IF(AN8&lt;=Parameter!$C$19,(Parameter!$C$22*(AN8-Parameter!$C$18)/10000+Parameter!$C$23)*(AN8-Parameter!$C$18)/10000,IF(AN8&lt;=Parameter!$C$20,(Parameter!$C$24*(AN8-Parameter!$C$19)/10000+Parameter!$C$25)*(AN8-Parameter!$C$19)/10000+Parameter!$C$26,IF(AN8&lt;=Parameter!$C$21,0.42*AN8-Parameter!$C$27,0.45*AN8-Parameter!$C$28)))))</f>
        <v>13205.8832718628</v>
      </c>
      <c r="AP8" s="40" t="n">
        <f aca="false">AO8+IF(AO8&lt;=(Parameter!$C$30*Parameter!$C$57*F8),0,MIN(Parameter!$C$29*AO8,Parameter!$C$31*(AO8-(Parameter!$C$30*Parameter!$C$57*F8))))+Eingaben!$C$16*AO8</f>
        <v>13205.8832718628</v>
      </c>
      <c r="AQ8" s="40" t="n">
        <f aca="false">AB8-AP8</f>
        <v>890.413479540002</v>
      </c>
      <c r="AR8" s="40" t="n">
        <f aca="false">MAX(0,AQ8-AK8)</f>
        <v>350.413479540002</v>
      </c>
      <c r="AS8" s="40" t="n">
        <f aca="false">MIN(AH8,Parameter!$C$47)+AK8</f>
        <v>2340</v>
      </c>
      <c r="AT8" s="40" t="n">
        <f aca="false">MAX(0,AH8-Parameter!$C$47)+0</f>
        <v>181.160016341039</v>
      </c>
      <c r="AU8" s="40" t="n">
        <f aca="false">MAX(0,AG8-Parameter!$C$49)</f>
        <v>0</v>
      </c>
      <c r="AV8" s="40" t="n">
        <f aca="false">AG8</f>
        <v>1981.16001634104</v>
      </c>
      <c r="AW8" s="40" t="n">
        <f aca="false">IF(D8=0,0,0*(1+Parameter!$C$60)+P8*(1+Parameter!$C$60)^0.5)</f>
        <v>4107.03535751033</v>
      </c>
      <c r="AX8" s="40" t="n">
        <f aca="false">IF(D8=0,0,0*(1+Parameter!$C$60)+Q8*(1+Parameter!$C$60)^0.5)</f>
        <v>0</v>
      </c>
      <c r="AY8" s="40" t="n">
        <f aca="false">IF(D8=0,0,0*(1+Parameter!$C$61)+AS8*(1+Parameter!$C$61)^0.5)</f>
        <v>2414.85279054438</v>
      </c>
      <c r="AZ8" s="40" t="n">
        <f aca="false">IF(D8=0,0,0*(1+Parameter!$C$61)+AT8*(1+Parameter!$C$61)^0.5)</f>
        <v>186.955030340267</v>
      </c>
      <c r="BA8" s="40" t="n">
        <f aca="false">IF(D8=0,0,0*(1+Parameter!$C$62)+AU8*(1+Parameter!$C$62)^0.5-BD8)</f>
        <v>0</v>
      </c>
      <c r="BB8" s="40" t="n">
        <f aca="false">IF(D8=0,0,0+AU8+BC8)</f>
        <v>0</v>
      </c>
      <c r="BC8" s="40" t="n">
        <f aca="false">MAX(0,MIN(0*(1+Parameter!$C$62)+AU8*(1+Parameter!$C$62)^0.5-0-AU8,0*Parameter!$C$39*Parameter!$C$40))</f>
        <v>0</v>
      </c>
      <c r="BD8" s="40" t="n">
        <f aca="false">MAX(0,BC8*(1-Parameter!$C$37)-Parameter!$C$67)*Parameter!$C$36</f>
        <v>0</v>
      </c>
      <c r="BE8" s="40" t="n">
        <f aca="false">IF(D8=0,0,0*(1+Parameter!$C$62)+AV8*(1+Parameter!$C$62)^0.5-BH8)</f>
        <v>2047.41170042865</v>
      </c>
      <c r="BF8" s="40" t="n">
        <f aca="false">IF(D8=0,0,0+AV8+BG8)</f>
        <v>1981.16001634104</v>
      </c>
      <c r="BG8" s="40" t="n">
        <f aca="false">MAX(0,MIN(0*(1+Parameter!$C$62)+AV8*(1+Parameter!$C$62)^0.5-0-AV8,0*Parameter!$C$39*Parameter!$C$40))</f>
        <v>0</v>
      </c>
      <c r="BH8" s="40" t="n">
        <f aca="false">MAX(0,BG8*(1-Parameter!$C$37)-Parameter!$C$67)*Parameter!$C$36</f>
        <v>0</v>
      </c>
      <c r="BI8" s="38" t="n">
        <f aca="false">R8/(Parameter!$C$8*E8)</f>
        <v>0.0693054058216541</v>
      </c>
      <c r="BJ8" s="38" t="n">
        <f aca="false">0+BI8</f>
        <v>0.0693054058216541</v>
      </c>
    </row>
    <row r="9" customFormat="false" ht="15" hidden="false" customHeight="false" outlineLevel="0" collapsed="false">
      <c r="A9" s="32" t="n">
        <f aca="false">2026+1</f>
        <v>2027</v>
      </c>
      <c r="B9" s="32" t="n">
        <f aca="false">Eingaben!$C$5+1</f>
        <v>41</v>
      </c>
      <c r="C9" s="32" t="n">
        <f aca="false">IF(AND(B9&lt;Eingaben!$C$8,B9&lt;Eingaben!$C$6),1,0)</f>
        <v>1</v>
      </c>
      <c r="D9" s="32" t="n">
        <f aca="false">IF(B9&lt;Eingaben!$C$6,1,0)</f>
        <v>1</v>
      </c>
      <c r="E9" s="41" t="n">
        <f aca="false">(1+Eingaben!$C$13)^1</f>
        <v>1.025</v>
      </c>
      <c r="F9" s="41" t="n">
        <f aca="false">(1+Eingaben!$C$17)^1</f>
        <v>1.02</v>
      </c>
      <c r="G9" s="42" t="n">
        <f aca="false">IF(B9&gt;=Eingaben!$C$9,Eingaben!$C$10,1)</f>
        <v>1</v>
      </c>
      <c r="H9" s="43" t="n">
        <f aca="false">Eingaben!$C$12*E9*G9*C9</f>
        <v>76875</v>
      </c>
      <c r="I9" s="43" t="n">
        <f aca="false">Parameter!$C$4*E9</f>
        <v>103935</v>
      </c>
      <c r="J9" s="43" t="n">
        <f aca="false">Parameter!$C$5*E9</f>
        <v>71493.75</v>
      </c>
      <c r="K9" s="43" t="n">
        <f aca="false">MIN(H9,12*(IF(Eingaben!$C$22=2,Umrechnung!$C$54,Eingaben!$C$23))*IF(Eingaben!$C$25=1,E9,1))*C9</f>
        <v>3690</v>
      </c>
      <c r="L9" s="43" t="n">
        <f aca="false">MIN(K9,MAX(0,Parameter!$C$42*I9-N9))</f>
        <v>3690</v>
      </c>
      <c r="M9" s="43" t="n">
        <f aca="false">MIN(K9,Parameter!$C$43*I9)</f>
        <v>3690</v>
      </c>
      <c r="N9" s="43" t="n">
        <f aca="false">IF(Eingaben!$C$27=2,MIN(Eingaben!$C$26*K9,U9),Eingaben!$C$26*IF(Eingaben!$C$27=1,M9,K9))</f>
        <v>391.14</v>
      </c>
      <c r="O9" s="43" t="n">
        <f aca="false">K9+N9</f>
        <v>4081.14</v>
      </c>
      <c r="P9" s="43" t="n">
        <f aca="false">MIN(O9,Parameter!$C$42*I9)</f>
        <v>4081.14</v>
      </c>
      <c r="Q9" s="43" t="n">
        <f aca="false">O9-P9</f>
        <v>0</v>
      </c>
      <c r="R9" s="43" t="n">
        <f aca="false">MIN(H9,I9)-MIN(H9-M9,I9)</f>
        <v>3690</v>
      </c>
      <c r="S9" s="43" t="n">
        <f aca="false">MIN(H9,J9)-MIN(H9-M9,J9)</f>
        <v>0</v>
      </c>
      <c r="T9" s="43" t="n">
        <f aca="false">R9*(Parameter!$C$10+Parameter!$C$11)+S9*((Parameter!$C$12+Parameter!$C$13)/2+Parameter!$C$58)</f>
        <v>391.14</v>
      </c>
      <c r="U9" s="43" t="n">
        <f aca="false">R9*(Parameter!$C$10+Parameter!$C$11)+S9*((Parameter!$C$12+Parameter!$C$13)/2+Parameter!$C$15)</f>
        <v>391.14</v>
      </c>
      <c r="V9" s="43" t="n">
        <f aca="false">MIN(H9,I9)*Parameter!$C$10+MIN(H9,J9)*(0.96*(Parameter!$C$12+Parameter!$C$13)/2+Parameter!$C$58)</f>
        <v>14441.7375</v>
      </c>
      <c r="W9" s="43" t="n">
        <f aca="false">MIN(H9-M9,I9)*Parameter!$C$10+MIN(H9-M9,J9)*(0.96*(Parameter!$C$12+Parameter!$C$13)/2+Parameter!$C$58)</f>
        <v>14098.5675</v>
      </c>
      <c r="X9" s="43" t="n">
        <f aca="false">MAX(0,H9-Parameter!$C$32*F9-Parameter!$C$33-V9)</f>
        <v>61142.6625</v>
      </c>
      <c r="Y9" s="43" t="n">
        <f aca="false">MAX(0,H9-L9-Parameter!$C$32*F9-Parameter!$C$33-W9)</f>
        <v>57795.8325</v>
      </c>
      <c r="Z9" s="43" t="n">
        <f aca="false">MAX(0,(X9+IF(Eingaben!$C$14=3,Eingaben!$C$15,0))/Parameter!$C$57/F9)</f>
        <v>59943.7867647059</v>
      </c>
      <c r="AA9" s="43" t="n">
        <f aca="false">Parameter!$C$57*F9*(IF(Z9&lt;=Parameter!$C$18,0,IF(Z9&lt;=Parameter!$C$19,(Parameter!$C$22*(Z9-Parameter!$C$18)/10000+Parameter!$C$23)*(Z9-Parameter!$C$18)/10000,IF(Z9&lt;=Parameter!$C$20,(Parameter!$C$24*(Z9-Parameter!$C$19)/10000+Parameter!$C$25)*(Z9-Parameter!$C$19)/10000+Parameter!$C$26,IF(Z9&lt;=Parameter!$C$21,0.42*Z9-Parameter!$C$27,0.45*Z9-Parameter!$C$28)))))</f>
        <v>14495.779214538</v>
      </c>
      <c r="AB9" s="43" t="n">
        <f aca="false">AA9+IF(AA9&lt;=(Parameter!$C$30*Parameter!$C$57*F9),0,MIN(Parameter!$C$29*AA9,Parameter!$C$31*(AA9-(Parameter!$C$30*Parameter!$C$57*F9))))+Eingaben!$C$16*AA9</f>
        <v>14495.779214538</v>
      </c>
      <c r="AC9" s="43" t="n">
        <f aca="false">MAX(0,(Y9+IF(Eingaben!$C$14=3,Eingaben!$C$15,0))/Parameter!$C$57/F9)</f>
        <v>56662.5808823529</v>
      </c>
      <c r="AD9" s="43" t="n">
        <f aca="false">Parameter!$C$57*F9*(IF(AC9&lt;=Parameter!$C$18,0,IF(AC9&lt;=Parameter!$C$19,(Parameter!$C$22*(AC9-Parameter!$C$18)/10000+Parameter!$C$23)*(AC9-Parameter!$C$18)/10000,IF(AC9&lt;=Parameter!$C$20,(Parameter!$C$24*(AC9-Parameter!$C$19)/10000+Parameter!$C$25)*(AC9-Parameter!$C$19)/10000+Parameter!$C$26,IF(AC9&lt;=Parameter!$C$21,0.42*AC9-Parameter!$C$27,0.45*AC9-Parameter!$C$28)))))</f>
        <v>13224.2332055933</v>
      </c>
      <c r="AE9" s="43" t="n">
        <f aca="false">AD9+IF(AD9&lt;=(Parameter!$C$30*Parameter!$C$57*F9),0,MIN(Parameter!$C$29*AD9,Parameter!$C$31*(AD9-(Parameter!$C$30*Parameter!$C$57*F9))))+Eingaben!$C$16*AD9</f>
        <v>13224.2332055933</v>
      </c>
      <c r="AF9" s="43" t="n">
        <f aca="false">AB9-AE9</f>
        <v>1271.54600894461</v>
      </c>
      <c r="AG9" s="43" t="n">
        <f aca="false">MAX(0,K9-T9-AF9)</f>
        <v>2027.31399105539</v>
      </c>
      <c r="AH9" s="43" t="n">
        <f aca="false">MIN(AG9,Parameter!$C$49)</f>
        <v>2027.31399105539</v>
      </c>
      <c r="AI9" s="43" t="n">
        <f aca="false">Parameter!$C$44*MIN(AH9,Parameter!$C$45)+Parameter!$C$46*MAX(0,MIN(AH9,Parameter!$C$47)-Parameter!$C$45)</f>
        <v>540</v>
      </c>
      <c r="AJ9" s="43" t="n">
        <f aca="false">MIN(AH9,Parameter!$C$48)*Eingaben!$C$18*IF(1&lt;Eingaben!$C$19,1,0)</f>
        <v>0</v>
      </c>
      <c r="AK9" s="43" t="n">
        <f aca="false">MIN(AI9+AJ9,MAX(0,Parameter!$C$49-AH9))</f>
        <v>540</v>
      </c>
      <c r="AL9" s="43" t="n">
        <f aca="false">MIN(MIN(AH9,Parameter!$C$47)+AK9,Parameter!$C$50)</f>
        <v>2340</v>
      </c>
      <c r="AM9" s="43" t="n">
        <f aca="false">MAX(0,X9-AL9)</f>
        <v>58802.6625</v>
      </c>
      <c r="AN9" s="43" t="n">
        <f aca="false">MAX(0,(AM9+IF(Eingaben!$C$14=3,Eingaben!$C$15,0))/Parameter!$C$57/F9)</f>
        <v>57649.6691176471</v>
      </c>
      <c r="AO9" s="43" t="n">
        <f aca="false">Parameter!$C$57*F9*(IF(AN9&lt;=Parameter!$C$18,0,IF(AN9&lt;=Parameter!$C$19,(Parameter!$C$22*(AN9-Parameter!$C$18)/10000+Parameter!$C$23)*(AN9-Parameter!$C$18)/10000,IF(AN9&lt;=Parameter!$C$20,(Parameter!$C$24*(AN9-Parameter!$C$19)/10000+Parameter!$C$25)*(AN9-Parameter!$C$19)/10000+Parameter!$C$26,IF(AN9&lt;=Parameter!$C$21,0.42*AN9-Parameter!$C$27,0.45*AN9-Parameter!$C$28)))))</f>
        <v>13602.7553406682</v>
      </c>
      <c r="AP9" s="43" t="n">
        <f aca="false">AO9+IF(AO9&lt;=(Parameter!$C$30*Parameter!$C$57*F9),0,MIN(Parameter!$C$29*AO9,Parameter!$C$31*(AO9-(Parameter!$C$30*Parameter!$C$57*F9))))+Eingaben!$C$16*AO9</f>
        <v>13602.7553406682</v>
      </c>
      <c r="AQ9" s="43" t="n">
        <f aca="false">AB9-AP9</f>
        <v>893.023873869706</v>
      </c>
      <c r="AR9" s="43" t="n">
        <f aca="false">MAX(0,AQ9-AK9)</f>
        <v>353.023873869706</v>
      </c>
      <c r="AS9" s="43" t="n">
        <f aca="false">MIN(AH9,Parameter!$C$47)+AK9</f>
        <v>2340</v>
      </c>
      <c r="AT9" s="43" t="n">
        <f aca="false">MAX(0,AH9-Parameter!$C$47)+AR8</f>
        <v>577.727470595394</v>
      </c>
      <c r="AU9" s="43" t="n">
        <f aca="false">MAX(0,AG9-Parameter!$C$49)</f>
        <v>0</v>
      </c>
      <c r="AV9" s="43" t="n">
        <f aca="false">AG9</f>
        <v>2027.31399105539</v>
      </c>
      <c r="AW9" s="43" t="n">
        <f aca="false">IF(D9=0,AW8,AW8*(1+Parameter!$C$60)+P9*(1+Parameter!$C$60)^0.5)</f>
        <v>8579.59686183908</v>
      </c>
      <c r="AX9" s="43" t="n">
        <f aca="false">IF(D9=0,AX8,AX8*(1+Parameter!$C$60)+Q9*(1+Parameter!$C$60)^0.5)</f>
        <v>0</v>
      </c>
      <c r="AY9" s="43" t="n">
        <f aca="false">IF(D9=0,AY8,AY8*(1+Parameter!$C$61)+AS9*(1+Parameter!$C$61)^0.5)</f>
        <v>4986.67101247415</v>
      </c>
      <c r="AZ9" s="43" t="n">
        <f aca="false">IF(D9=0,AZ8,AZ8*(1+Parameter!$C$61)+AT9*(1+Parameter!$C$61)^0.5)</f>
        <v>795.315139167699</v>
      </c>
      <c r="BA9" s="43" t="n">
        <f aca="false">IF(D9=0,BA8,BA8*(1+Parameter!$C$62)+AU9*(1+Parameter!$C$62)^0.5-BD9)</f>
        <v>0</v>
      </c>
      <c r="BB9" s="43" t="n">
        <f aca="false">IF(D9=0,BB8,BB8+AU9+BC9)</f>
        <v>0</v>
      </c>
      <c r="BC9" s="43" t="n">
        <f aca="false">MAX(0,MIN(BA8*(1+Parameter!$C$62)+AU9*(1+Parameter!$C$62)^0.5-BA8-AU9,BA8*Parameter!$C$39*Parameter!$C$40))</f>
        <v>0</v>
      </c>
      <c r="BD9" s="43" t="n">
        <f aca="false">MAX(0,BC9*(1-Parameter!$C$37)-Parameter!$C$67)*Parameter!$C$36</f>
        <v>0</v>
      </c>
      <c r="BE9" s="43" t="n">
        <f aca="false">IF(D9=0,BE8,BE8*(1+Parameter!$C$62)+AV9*(1+Parameter!$C$62)^0.5-BH9)</f>
        <v>4281.7447995594</v>
      </c>
      <c r="BF9" s="43" t="n">
        <f aca="false">IF(D9=0,BF8,BF8+AV9+BG9)</f>
        <v>4054.33602948603</v>
      </c>
      <c r="BG9" s="43" t="n">
        <f aca="false">MAX(0,MIN(BE8*(1+Parameter!$C$62)+AV9*(1+Parameter!$C$62)^0.5-BE8-AV9,BE8*Parameter!$C$39*Parameter!$C$40))</f>
        <v>45.8620220896017</v>
      </c>
      <c r="BH9" s="43" t="n">
        <f aca="false">MAX(0,BG9*(1-Parameter!$C$37)-Parameter!$C$67)*Parameter!$C$36</f>
        <v>0</v>
      </c>
      <c r="BI9" s="41" t="n">
        <f aca="false">R9/(Parameter!$C$8*E9)</f>
        <v>0.0693054058216541</v>
      </c>
      <c r="BJ9" s="41" t="n">
        <f aca="false">BJ8+BI9</f>
        <v>0.138610811643308</v>
      </c>
    </row>
    <row r="10" customFormat="false" ht="15" hidden="false" customHeight="false" outlineLevel="0" collapsed="false">
      <c r="A10" s="30" t="n">
        <f aca="false">2026+2</f>
        <v>2028</v>
      </c>
      <c r="B10" s="30" t="n">
        <f aca="false">Eingaben!$C$5+2</f>
        <v>42</v>
      </c>
      <c r="C10" s="30" t="n">
        <f aca="false">IF(AND(B10&lt;Eingaben!$C$8,B10&lt;Eingaben!$C$6),1,0)</f>
        <v>1</v>
      </c>
      <c r="D10" s="30" t="n">
        <f aca="false">IF(B10&lt;Eingaben!$C$6,1,0)</f>
        <v>1</v>
      </c>
      <c r="E10" s="38" t="n">
        <f aca="false">(1+Eingaben!$C$13)^2</f>
        <v>1.050625</v>
      </c>
      <c r="F10" s="38" t="n">
        <f aca="false">(1+Eingaben!$C$17)^2</f>
        <v>1.0404</v>
      </c>
      <c r="G10" s="39" t="n">
        <f aca="false">IF(B10&gt;=Eingaben!$C$9,Eingaben!$C$10,1)</f>
        <v>1</v>
      </c>
      <c r="H10" s="40" t="n">
        <f aca="false">Eingaben!$C$12*E10*G10*C10</f>
        <v>78796.875</v>
      </c>
      <c r="I10" s="40" t="n">
        <f aca="false">Parameter!$C$4*E10</f>
        <v>106533.375</v>
      </c>
      <c r="J10" s="40" t="n">
        <f aca="false">Parameter!$C$5*E10</f>
        <v>73281.09375</v>
      </c>
      <c r="K10" s="40" t="n">
        <f aca="false">MIN(H10,12*(IF(Eingaben!$C$22=2,Umrechnung!$C$54,Eingaben!$C$23))*IF(Eingaben!$C$25=1,E10,1))*C10</f>
        <v>3782.25</v>
      </c>
      <c r="L10" s="40" t="n">
        <f aca="false">MIN(K10,MAX(0,Parameter!$C$42*I10-N10))</f>
        <v>3782.25</v>
      </c>
      <c r="M10" s="40" t="n">
        <f aca="false">MIN(K10,Parameter!$C$43*I10)</f>
        <v>3782.25</v>
      </c>
      <c r="N10" s="40" t="n">
        <f aca="false">IF(Eingaben!$C$27=2,MIN(Eingaben!$C$26*K10,U10),Eingaben!$C$26*IF(Eingaben!$C$27=1,M10,K10))</f>
        <v>400.9185</v>
      </c>
      <c r="O10" s="40" t="n">
        <f aca="false">K10+N10</f>
        <v>4183.1685</v>
      </c>
      <c r="P10" s="40" t="n">
        <f aca="false">MIN(O10,Parameter!$C$42*I10)</f>
        <v>4183.1685</v>
      </c>
      <c r="Q10" s="40" t="n">
        <f aca="false">O10-P10</f>
        <v>0</v>
      </c>
      <c r="R10" s="40" t="n">
        <f aca="false">MIN(H10,I10)-MIN(H10-M10,I10)</f>
        <v>3782.25</v>
      </c>
      <c r="S10" s="40" t="n">
        <f aca="false">MIN(H10,J10)-MIN(H10-M10,J10)</f>
        <v>0</v>
      </c>
      <c r="T10" s="40" t="n">
        <f aca="false">R10*(Parameter!$C$10+Parameter!$C$11)+S10*((Parameter!$C$12+Parameter!$C$13)/2+Parameter!$C$58)</f>
        <v>400.9185</v>
      </c>
      <c r="U10" s="40" t="n">
        <f aca="false">R10*(Parameter!$C$10+Parameter!$C$11)+S10*((Parameter!$C$12+Parameter!$C$13)/2+Parameter!$C$15)</f>
        <v>400.9185</v>
      </c>
      <c r="V10" s="40" t="n">
        <f aca="false">MIN(H10,I10)*Parameter!$C$10+MIN(H10,J10)*(0.96*(Parameter!$C$12+Parameter!$C$13)/2+Parameter!$C$58)</f>
        <v>14802.7809375</v>
      </c>
      <c r="W10" s="40" t="n">
        <f aca="false">MIN(H10-M10,I10)*Parameter!$C$10+MIN(H10-M10,J10)*(0.96*(Parameter!$C$12+Parameter!$C$13)/2+Parameter!$C$58)</f>
        <v>14451.0316875</v>
      </c>
      <c r="X10" s="40" t="n">
        <f aca="false">MAX(0,H10-Parameter!$C$32*F10-Parameter!$C$33-V10)</f>
        <v>62678.4020625</v>
      </c>
      <c r="Y10" s="40" t="n">
        <f aca="false">MAX(0,H10-L10-Parameter!$C$32*F10-Parameter!$C$33-W10)</f>
        <v>59247.9013125</v>
      </c>
      <c r="Z10" s="40" t="n">
        <f aca="false">MAX(0,(X10+IF(Eingaben!$C$14=3,Eingaben!$C$15,0))/Parameter!$C$57/F10)</f>
        <v>60244.5233203576</v>
      </c>
      <c r="AA10" s="40" t="n">
        <f aca="false">Parameter!$C$57*F10*(IF(Z10&lt;=Parameter!$C$18,0,IF(Z10&lt;=Parameter!$C$19,(Parameter!$C$22*(Z10-Parameter!$C$18)/10000+Parameter!$C$23)*(Z10-Parameter!$C$18)/10000,IF(Z10&lt;=Parameter!$C$20,(Parameter!$C$24*(Z10-Parameter!$C$19)/10000+Parameter!$C$25)*(Z10-Parameter!$C$19)/10000+Parameter!$C$26,IF(Z10&lt;=Parameter!$C$21,0.42*Z10-Parameter!$C$27,0.45*Z10-Parameter!$C$28)))))</f>
        <v>14906.5082849238</v>
      </c>
      <c r="AB10" s="40" t="n">
        <f aca="false">AA10+IF(AA10&lt;=(Parameter!$C$30*Parameter!$C$57*F10),0,MIN(Parameter!$C$29*AA10,Parameter!$C$31*(AA10-(Parameter!$C$30*Parameter!$C$57*F10))))+Eingaben!$C$16*AA10</f>
        <v>14906.5082849238</v>
      </c>
      <c r="AC10" s="40" t="n">
        <f aca="false">MAX(0,(Y10+IF(Eingaben!$C$14=3,Eingaben!$C$15,0))/Parameter!$C$57/F10)</f>
        <v>56947.2330954441</v>
      </c>
      <c r="AD10" s="40" t="n">
        <f aca="false">Parameter!$C$57*F10*(IF(AC10&lt;=Parameter!$C$18,0,IF(AC10&lt;=Parameter!$C$19,(Parameter!$C$22*(AC10-Parameter!$C$18)/10000+Parameter!$C$23)*(AC10-Parameter!$C$18)/10000,IF(AC10&lt;=Parameter!$C$20,(Parameter!$C$24*(AC10-Parameter!$C$19)/10000+Parameter!$C$25)*(AC10-Parameter!$C$19)/10000+Parameter!$C$26,IF(AC10&lt;=Parameter!$C$21,0.42*AC10-Parameter!$C$27,0.45*AC10-Parameter!$C$28)))))</f>
        <v>13599.6974720433</v>
      </c>
      <c r="AE10" s="40" t="n">
        <f aca="false">AD10+IF(AD10&lt;=(Parameter!$C$30*Parameter!$C$57*F10),0,MIN(Parameter!$C$29*AD10,Parameter!$C$31*(AD10-(Parameter!$C$30*Parameter!$C$57*F10))))+Eingaben!$C$16*AD10</f>
        <v>13599.6974720433</v>
      </c>
      <c r="AF10" s="40" t="n">
        <f aca="false">AB10-AE10</f>
        <v>1306.81081288051</v>
      </c>
      <c r="AG10" s="40" t="n">
        <f aca="false">MAX(0,K10-T10-AF10)</f>
        <v>2074.52068711949</v>
      </c>
      <c r="AH10" s="40" t="n">
        <f aca="false">MIN(AG10,Parameter!$C$49)</f>
        <v>2074.52068711949</v>
      </c>
      <c r="AI10" s="40" t="n">
        <f aca="false">Parameter!$C$44*MIN(AH10,Parameter!$C$45)+Parameter!$C$46*MAX(0,MIN(AH10,Parameter!$C$47)-Parameter!$C$45)</f>
        <v>540</v>
      </c>
      <c r="AJ10" s="40" t="n">
        <f aca="false">MIN(AH10,Parameter!$C$48)*Eingaben!$C$18*IF(2&lt;Eingaben!$C$19,1,0)</f>
        <v>0</v>
      </c>
      <c r="AK10" s="40" t="n">
        <f aca="false">MIN(AI10+AJ10,MAX(0,Parameter!$C$49-AH10))</f>
        <v>540</v>
      </c>
      <c r="AL10" s="40" t="n">
        <f aca="false">MIN(MIN(AH10,Parameter!$C$47)+AK10,Parameter!$C$50)</f>
        <v>2340</v>
      </c>
      <c r="AM10" s="40" t="n">
        <f aca="false">MAX(0,X10-AL10)</f>
        <v>60338.4020625</v>
      </c>
      <c r="AN10" s="40" t="n">
        <f aca="false">MAX(0,(AM10+IF(Eingaben!$C$14=3,Eingaben!$C$15,0))/Parameter!$C$57/F10)</f>
        <v>57995.3883722607</v>
      </c>
      <c r="AO10" s="40" t="n">
        <f aca="false">Parameter!$C$57*F10*(IF(AN10&lt;=Parameter!$C$18,0,IF(AN10&lt;=Parameter!$C$19,(Parameter!$C$22*(AN10-Parameter!$C$18)/10000+Parameter!$C$23)*(AN10-Parameter!$C$18)/10000,IF(AN10&lt;=Parameter!$C$20,(Parameter!$C$24*(AN10-Parameter!$C$19)/10000+Parameter!$C$25)*(AN10-Parameter!$C$19)/10000+Parameter!$C$26,IF(AN10&lt;=Parameter!$C$21,0.42*AN10-Parameter!$C$27,0.45*AN10-Parameter!$C$28)))))</f>
        <v>14010.8659159364</v>
      </c>
      <c r="AP10" s="40" t="n">
        <f aca="false">AO10+IF(AO10&lt;=(Parameter!$C$30*Parameter!$C$57*F10),0,MIN(Parameter!$C$29*AO10,Parameter!$C$31*(AO10-(Parameter!$C$30*Parameter!$C$57*F10))))+Eingaben!$C$16*AO10</f>
        <v>14010.8659159364</v>
      </c>
      <c r="AQ10" s="40" t="n">
        <f aca="false">AB10-AP10</f>
        <v>895.642368987417</v>
      </c>
      <c r="AR10" s="40" t="n">
        <f aca="false">MAX(0,AQ10-AK10)</f>
        <v>355.642368987417</v>
      </c>
      <c r="AS10" s="40" t="n">
        <f aca="false">MIN(AH10,Parameter!$C$47)+AK10</f>
        <v>2340</v>
      </c>
      <c r="AT10" s="40" t="n">
        <f aca="false">MAX(0,AH10-Parameter!$C$47)+AR9</f>
        <v>627.5445609892</v>
      </c>
      <c r="AU10" s="40" t="n">
        <f aca="false">MAX(0,AG10-Parameter!$C$49)</f>
        <v>0</v>
      </c>
      <c r="AV10" s="40" t="n">
        <f aca="false">AG10</f>
        <v>2074.52068711949</v>
      </c>
      <c r="AW10" s="40" t="n">
        <f aca="false">IF(D10=0,AW9,AW9*(1+Parameter!$C$60)+P10*(1+Parameter!$C$60)^0.5)</f>
        <v>13443.6450834811</v>
      </c>
      <c r="AX10" s="40" t="n">
        <f aca="false">IF(D10=0,AX9,AX9*(1+Parameter!$C$60)+Q10*(1+Parameter!$C$60)^0.5)</f>
        <v>0</v>
      </c>
      <c r="AY10" s="40" t="n">
        <f aca="false">IF(D10=0,AY9,AY9*(1+Parameter!$C$61)+AS10*(1+Parameter!$C$61)^0.5)</f>
        <v>7725.65741882936</v>
      </c>
      <c r="AZ10" s="40" t="n">
        <f aca="false">IF(D10=0,AZ9,AZ9*(1+Parameter!$C$61)+AT10*(1+Parameter!$C$61)^0.5)</f>
        <v>1494.62931308357</v>
      </c>
      <c r="BA10" s="40" t="n">
        <f aca="false">IF(D10=0,BA9,BA9*(1+Parameter!$C$62)+AU10*(1+Parameter!$C$62)^0.5-BD10)</f>
        <v>0</v>
      </c>
      <c r="BB10" s="40" t="n">
        <f aca="false">IF(D10=0,BB9,BB9+AU10+BC10)</f>
        <v>0</v>
      </c>
      <c r="BC10" s="40" t="n">
        <f aca="false">MAX(0,MIN(BA9*(1+Parameter!$C$62)+AU10*(1+Parameter!$C$62)^0.5-BA9-AU10,BA9*Parameter!$C$39*Parameter!$C$40))</f>
        <v>0</v>
      </c>
      <c r="BD10" s="40" t="n">
        <f aca="false">MAX(0,BC10*(1-Parameter!$C$37)-Parameter!$C$67)*Parameter!$C$36</f>
        <v>0</v>
      </c>
      <c r="BE10" s="40" t="n">
        <f aca="false">IF(D10=0,BE9,BE9*(1+Parameter!$C$62)+AV10*(1+Parameter!$C$62)^0.5-BH10)</f>
        <v>6716.79787775537</v>
      </c>
      <c r="BF10" s="40" t="n">
        <f aca="false">IF(D10=0,BF9,BF9+AV10+BG10)</f>
        <v>6224.76780011566</v>
      </c>
      <c r="BG10" s="40" t="n">
        <f aca="false">MAX(0,MIN(BE9*(1+Parameter!$C$62)+AV10*(1+Parameter!$C$62)^0.5-BE9-AV10,BE9*Parameter!$C$39*Parameter!$C$40))</f>
        <v>95.9110835101306</v>
      </c>
      <c r="BH10" s="40" t="n">
        <f aca="false">MAX(0,BG10*(1-Parameter!$C$37)-Parameter!$C$67)*Parameter!$C$36</f>
        <v>0</v>
      </c>
      <c r="BI10" s="38" t="n">
        <f aca="false">R10/(Parameter!$C$8*E10)</f>
        <v>0.0693054058216541</v>
      </c>
      <c r="BJ10" s="38" t="n">
        <f aca="false">BJ9+BI10</f>
        <v>0.207916217464962</v>
      </c>
    </row>
    <row r="11" customFormat="false" ht="15" hidden="false" customHeight="false" outlineLevel="0" collapsed="false">
      <c r="A11" s="32" t="n">
        <f aca="false">2026+3</f>
        <v>2029</v>
      </c>
      <c r="B11" s="32" t="n">
        <f aca="false">Eingaben!$C$5+3</f>
        <v>43</v>
      </c>
      <c r="C11" s="32" t="n">
        <f aca="false">IF(AND(B11&lt;Eingaben!$C$8,B11&lt;Eingaben!$C$6),1,0)</f>
        <v>1</v>
      </c>
      <c r="D11" s="32" t="n">
        <f aca="false">IF(B11&lt;Eingaben!$C$6,1,0)</f>
        <v>1</v>
      </c>
      <c r="E11" s="41" t="n">
        <f aca="false">(1+Eingaben!$C$13)^3</f>
        <v>1.076890625</v>
      </c>
      <c r="F11" s="41" t="n">
        <f aca="false">(1+Eingaben!$C$17)^3</f>
        <v>1.061208</v>
      </c>
      <c r="G11" s="42" t="n">
        <f aca="false">IF(B11&gt;=Eingaben!$C$9,Eingaben!$C$10,1)</f>
        <v>1</v>
      </c>
      <c r="H11" s="43" t="n">
        <f aca="false">Eingaben!$C$12*E11*G11*C11</f>
        <v>80766.796875</v>
      </c>
      <c r="I11" s="43" t="n">
        <f aca="false">Parameter!$C$4*E11</f>
        <v>109196.709375</v>
      </c>
      <c r="J11" s="43" t="n">
        <f aca="false">Parameter!$C$5*E11</f>
        <v>75113.12109375</v>
      </c>
      <c r="K11" s="43" t="n">
        <f aca="false">MIN(H11,12*(IF(Eingaben!$C$22=2,Umrechnung!$C$54,Eingaben!$C$23))*IF(Eingaben!$C$25=1,E11,1))*C11</f>
        <v>3876.80625</v>
      </c>
      <c r="L11" s="43" t="n">
        <f aca="false">MIN(K11,MAX(0,Parameter!$C$42*I11-N11))</f>
        <v>3876.80625</v>
      </c>
      <c r="M11" s="43" t="n">
        <f aca="false">MIN(K11,Parameter!$C$43*I11)</f>
        <v>3876.80625</v>
      </c>
      <c r="N11" s="43" t="n">
        <f aca="false">IF(Eingaben!$C$27=2,MIN(Eingaben!$C$26*K11,U11),Eingaben!$C$26*IF(Eingaben!$C$27=1,M11,K11))</f>
        <v>410.941462499999</v>
      </c>
      <c r="O11" s="43" t="n">
        <f aca="false">K11+N11</f>
        <v>4287.7477125</v>
      </c>
      <c r="P11" s="43" t="n">
        <f aca="false">MIN(O11,Parameter!$C$42*I11)</f>
        <v>4287.7477125</v>
      </c>
      <c r="Q11" s="43" t="n">
        <f aca="false">O11-P11</f>
        <v>0</v>
      </c>
      <c r="R11" s="43" t="n">
        <f aca="false">MIN(H11,I11)-MIN(H11-M11,I11)</f>
        <v>3876.80624999999</v>
      </c>
      <c r="S11" s="43" t="n">
        <f aca="false">MIN(H11,J11)-MIN(H11-M11,J11)</f>
        <v>0</v>
      </c>
      <c r="T11" s="43" t="n">
        <f aca="false">R11*(Parameter!$C$10+Parameter!$C$11)+S11*((Parameter!$C$12+Parameter!$C$13)/2+Parameter!$C$58)</f>
        <v>410.941462499999</v>
      </c>
      <c r="U11" s="43" t="n">
        <f aca="false">R11*(Parameter!$C$10+Parameter!$C$11)+S11*((Parameter!$C$12+Parameter!$C$13)/2+Parameter!$C$15)</f>
        <v>410.941462499999</v>
      </c>
      <c r="V11" s="43" t="n">
        <f aca="false">MIN(H11,I11)*Parameter!$C$10+MIN(H11,J11)*(0.96*(Parameter!$C$12+Parameter!$C$13)/2+Parameter!$C$58)</f>
        <v>15172.8504609375</v>
      </c>
      <c r="W11" s="43" t="n">
        <f aca="false">MIN(H11-M11,I11)*Parameter!$C$10+MIN(H11-M11,J11)*(0.96*(Parameter!$C$12+Parameter!$C$13)/2+Parameter!$C$58)</f>
        <v>14812.3074796875</v>
      </c>
      <c r="X11" s="43" t="n">
        <f aca="false">MAX(0,H11-Parameter!$C$32*F11-Parameter!$C$33-V11)</f>
        <v>64252.6605740625</v>
      </c>
      <c r="Y11" s="43" t="n">
        <f aca="false">MAX(0,H11-L11-Parameter!$C$32*F11-Parameter!$C$33-W11)</f>
        <v>60736.3973053125</v>
      </c>
      <c r="Z11" s="43" t="n">
        <f aca="false">MAX(0,(X11+IF(Eingaben!$C$14=3,Eingaben!$C$15,0))/Parameter!$C$57/F11)</f>
        <v>60546.7171130094</v>
      </c>
      <c r="AA11" s="43" t="n">
        <f aca="false">Parameter!$C$57*F11*(IF(Z11&lt;=Parameter!$C$18,0,IF(Z11&lt;=Parameter!$C$19,(Parameter!$C$22*(Z11-Parameter!$C$18)/10000+Parameter!$C$23)*(Z11-Parameter!$C$18)/10000,IF(Z11&lt;=Parameter!$C$20,(Parameter!$C$24*(Z11-Parameter!$C$19)/10000+Parameter!$C$25)*(Z11-Parameter!$C$19)/10000+Parameter!$C$26,IF(Z11&lt;=Parameter!$C$21,0.42*Z11-Parameter!$C$27,0.45*Z11-Parameter!$C$28)))))</f>
        <v>15328.8000194082</v>
      </c>
      <c r="AB11" s="43" t="n">
        <f aca="false">AA11+IF(AA11&lt;=(Parameter!$C$30*Parameter!$C$57*F11),0,MIN(Parameter!$C$29*AA11,Parameter!$C$31*(AA11-(Parameter!$C$30*Parameter!$C$57*F11))))+Eingaben!$C$16*AA11</f>
        <v>15328.8000194082</v>
      </c>
      <c r="AC11" s="43" t="n">
        <f aca="false">MAX(0,(Y11+IF(Eingaben!$C$14=3,Eingaben!$C$15,0))/Parameter!$C$57/F11)</f>
        <v>57233.2637007189</v>
      </c>
      <c r="AD11" s="43" t="n">
        <f aca="false">Parameter!$C$57*F11*(IF(AC11&lt;=Parameter!$C$18,0,IF(AC11&lt;=Parameter!$C$19,(Parameter!$C$22*(AC11-Parameter!$C$18)/10000+Parameter!$C$23)*(AC11-Parameter!$C$18)/10000,IF(AC11&lt;=Parameter!$C$20,(Parameter!$C$24*(AC11-Parameter!$C$19)/10000+Parameter!$C$25)*(AC11-Parameter!$C$19)/10000+Parameter!$C$26,IF(AC11&lt;=Parameter!$C$21,0.42*AC11-Parameter!$C$27,0.45*AC11-Parameter!$C$28)))))</f>
        <v>13985.7386191634</v>
      </c>
      <c r="AE11" s="43" t="n">
        <f aca="false">AD11+IF(AD11&lt;=(Parameter!$C$30*Parameter!$C$57*F11),0,MIN(Parameter!$C$29*AD11,Parameter!$C$31*(AD11-(Parameter!$C$30*Parameter!$C$57*F11))))+Eingaben!$C$16*AD11</f>
        <v>13985.7386191634</v>
      </c>
      <c r="AF11" s="43" t="n">
        <f aca="false">AB11-AE11</f>
        <v>1343.06140024485</v>
      </c>
      <c r="AG11" s="43" t="n">
        <f aca="false">MAX(0,K11-T11-AF11)</f>
        <v>2122.80338725515</v>
      </c>
      <c r="AH11" s="43" t="n">
        <f aca="false">MIN(AG11,Parameter!$C$49)</f>
        <v>2122.80338725515</v>
      </c>
      <c r="AI11" s="43" t="n">
        <f aca="false">Parameter!$C$44*MIN(AH11,Parameter!$C$45)+Parameter!$C$46*MAX(0,MIN(AH11,Parameter!$C$47)-Parameter!$C$45)</f>
        <v>540</v>
      </c>
      <c r="AJ11" s="43" t="n">
        <f aca="false">MIN(AH11,Parameter!$C$48)*Eingaben!$C$18*IF(3&lt;Eingaben!$C$19,1,0)</f>
        <v>0</v>
      </c>
      <c r="AK11" s="43" t="n">
        <f aca="false">MIN(AI11+AJ11,MAX(0,Parameter!$C$49-AH11))</f>
        <v>540</v>
      </c>
      <c r="AL11" s="43" t="n">
        <f aca="false">MIN(MIN(AH11,Parameter!$C$47)+AK11,Parameter!$C$50)</f>
        <v>2340</v>
      </c>
      <c r="AM11" s="43" t="n">
        <f aca="false">MAX(0,X11-AL11)</f>
        <v>61912.6605740625</v>
      </c>
      <c r="AN11" s="43" t="n">
        <f aca="false">MAX(0,(AM11+IF(Eingaben!$C$14=3,Eingaben!$C$15,0))/Parameter!$C$57/F11)</f>
        <v>58341.6828501693</v>
      </c>
      <c r="AO11" s="43" t="n">
        <f aca="false">Parameter!$C$57*F11*(IF(AN11&lt;=Parameter!$C$18,0,IF(AN11&lt;=Parameter!$C$19,(Parameter!$C$22*(AN11-Parameter!$C$18)/10000+Parameter!$C$23)*(AN11-Parameter!$C$18)/10000,IF(AN11&lt;=Parameter!$C$20,(Parameter!$C$24*(AN11-Parameter!$C$19)/10000+Parameter!$C$25)*(AN11-Parameter!$C$19)/10000+Parameter!$C$26,IF(AN11&lt;=Parameter!$C$21,0.42*AN11-Parameter!$C$27,0.45*AN11-Parameter!$C$28)))))</f>
        <v>14430.5309227414</v>
      </c>
      <c r="AP11" s="43" t="n">
        <f aca="false">AO11+IF(AO11&lt;=(Parameter!$C$30*Parameter!$C$57*F11),0,MIN(Parameter!$C$29*AO11,Parameter!$C$31*(AO11-(Parameter!$C$30*Parameter!$C$57*F11))))+Eingaben!$C$16*AO11</f>
        <v>14430.5309227414</v>
      </c>
      <c r="AQ11" s="43" t="n">
        <f aca="false">AB11-AP11</f>
        <v>898.269096666852</v>
      </c>
      <c r="AR11" s="43" t="n">
        <f aca="false">MAX(0,AQ11-AK11)</f>
        <v>358.269096666852</v>
      </c>
      <c r="AS11" s="43" t="n">
        <f aca="false">MIN(AH11,Parameter!$C$47)+AK11</f>
        <v>2340</v>
      </c>
      <c r="AT11" s="43" t="n">
        <f aca="false">MAX(0,AH11-Parameter!$C$47)+AR10</f>
        <v>678.445756242571</v>
      </c>
      <c r="AU11" s="43" t="n">
        <f aca="false">MAX(0,AG11-Parameter!$C$49)</f>
        <v>0</v>
      </c>
      <c r="AV11" s="43" t="n">
        <f aca="false">AG11</f>
        <v>2122.80338725515</v>
      </c>
      <c r="AW11" s="43" t="n">
        <f aca="false">IF(D11=0,AW10,AW10*(1+Parameter!$C$60)+P11*(1+Parameter!$C$60)^0.5)</f>
        <v>18726.8662418703</v>
      </c>
      <c r="AX11" s="43" t="n">
        <f aca="false">IF(D11=0,AX10,AX10*(1+Parameter!$C$60)+Q11*(1+Parameter!$C$60)^0.5)</f>
        <v>0</v>
      </c>
      <c r="AY11" s="43" t="n">
        <f aca="false">IF(D11=0,AY10,AY10*(1+Parameter!$C$61)+AS11*(1+Parameter!$C$61)^0.5)</f>
        <v>10642.6779415976</v>
      </c>
      <c r="AZ11" s="43" t="n">
        <f aca="false">IF(D11=0,AZ10,AZ10*(1+Parameter!$C$61)+AT11*(1+Parameter!$C$61)^0.5)</f>
        <v>2291.92834992774</v>
      </c>
      <c r="BA11" s="43" t="n">
        <f aca="false">IF(D11=0,BA10,BA10*(1+Parameter!$C$62)+AU11*(1+Parameter!$C$62)^0.5-BD11)</f>
        <v>0</v>
      </c>
      <c r="BB11" s="43" t="n">
        <f aca="false">IF(D11=0,BB10,BB10+AU11+BC11)</f>
        <v>0</v>
      </c>
      <c r="BC11" s="43" t="n">
        <f aca="false">MAX(0,MIN(BA10*(1+Parameter!$C$62)+AU11*(1+Parameter!$C$62)^0.5-BA10-AU11,BA10*Parameter!$C$39*Parameter!$C$40))</f>
        <v>0</v>
      </c>
      <c r="BD11" s="43" t="n">
        <f aca="false">MAX(0,BC11*(1-Parameter!$C$37)-Parameter!$C$67)*Parameter!$C$36</f>
        <v>0</v>
      </c>
      <c r="BE11" s="43" t="n">
        <f aca="false">IF(D11=0,BE10,BE10*(1+Parameter!$C$62)+AV11*(1+Parameter!$C$62)^0.5-BH11)</f>
        <v>9367.33188016028</v>
      </c>
      <c r="BF11" s="43" t="n">
        <f aca="false">IF(D11=0,BF10,BF10+AV11+BG11)</f>
        <v>8498.02745983253</v>
      </c>
      <c r="BG11" s="43" t="n">
        <f aca="false">MAX(0,MIN(BE10*(1+Parameter!$C$62)+AV11*(1+Parameter!$C$62)^0.5-BE10-AV11,BE10*Parameter!$C$39*Parameter!$C$40))</f>
        <v>150.45627246172</v>
      </c>
      <c r="BH11" s="43" t="n">
        <f aca="false">MAX(0,BG11*(1-Parameter!$C$37)-Parameter!$C$67)*Parameter!$C$36</f>
        <v>0</v>
      </c>
      <c r="BI11" s="41" t="n">
        <f aca="false">R11/(Parameter!$C$8*E11)</f>
        <v>0.069305405821654</v>
      </c>
      <c r="BJ11" s="41" t="n">
        <f aca="false">BJ10+BI11</f>
        <v>0.277221623286616</v>
      </c>
    </row>
    <row r="12" customFormat="false" ht="15" hidden="false" customHeight="false" outlineLevel="0" collapsed="false">
      <c r="A12" s="30" t="n">
        <f aca="false">2026+4</f>
        <v>2030</v>
      </c>
      <c r="B12" s="30" t="n">
        <f aca="false">Eingaben!$C$5+4</f>
        <v>44</v>
      </c>
      <c r="C12" s="30" t="n">
        <f aca="false">IF(AND(B12&lt;Eingaben!$C$8,B12&lt;Eingaben!$C$6),1,0)</f>
        <v>1</v>
      </c>
      <c r="D12" s="30" t="n">
        <f aca="false">IF(B12&lt;Eingaben!$C$6,1,0)</f>
        <v>1</v>
      </c>
      <c r="E12" s="38" t="n">
        <f aca="false">(1+Eingaben!$C$13)^4</f>
        <v>1.103812890625</v>
      </c>
      <c r="F12" s="38" t="n">
        <f aca="false">(1+Eingaben!$C$17)^4</f>
        <v>1.08243216</v>
      </c>
      <c r="G12" s="39" t="n">
        <f aca="false">IF(B12&gt;=Eingaben!$C$9,Eingaben!$C$10,1)</f>
        <v>1</v>
      </c>
      <c r="H12" s="40" t="n">
        <f aca="false">Eingaben!$C$12*E12*G12*C12</f>
        <v>82785.966796875</v>
      </c>
      <c r="I12" s="40" t="n">
        <f aca="false">Parameter!$C$4*E12</f>
        <v>111926.627109375</v>
      </c>
      <c r="J12" s="40" t="n">
        <f aca="false">Parameter!$C$5*E12</f>
        <v>76990.9491210937</v>
      </c>
      <c r="K12" s="40" t="n">
        <f aca="false">MIN(H12,12*(IF(Eingaben!$C$22=2,Umrechnung!$C$54,Eingaben!$C$23))*IF(Eingaben!$C$25=1,E12,1))*C12</f>
        <v>3973.72640625</v>
      </c>
      <c r="L12" s="40" t="n">
        <f aca="false">MIN(K12,MAX(0,Parameter!$C$42*I12-N12))</f>
        <v>3973.72640625</v>
      </c>
      <c r="M12" s="40" t="n">
        <f aca="false">MIN(K12,Parameter!$C$43*I12)</f>
        <v>3973.72640625</v>
      </c>
      <c r="N12" s="40" t="n">
        <f aca="false">IF(Eingaben!$C$27=2,MIN(Eingaben!$C$26*K12,U12),Eingaben!$C$26*IF(Eingaben!$C$27=1,M12,K12))</f>
        <v>421.2149990625</v>
      </c>
      <c r="O12" s="40" t="n">
        <f aca="false">K12+N12</f>
        <v>4394.9414053125</v>
      </c>
      <c r="P12" s="40" t="n">
        <f aca="false">MIN(O12,Parameter!$C$42*I12)</f>
        <v>4394.9414053125</v>
      </c>
      <c r="Q12" s="40" t="n">
        <f aca="false">O12-P12</f>
        <v>0</v>
      </c>
      <c r="R12" s="40" t="n">
        <f aca="false">MIN(H12,I12)-MIN(H12-M12,I12)</f>
        <v>3973.72640625</v>
      </c>
      <c r="S12" s="40" t="n">
        <f aca="false">MIN(H12,J12)-MIN(H12-M12,J12)</f>
        <v>0</v>
      </c>
      <c r="T12" s="40" t="n">
        <f aca="false">R12*(Parameter!$C$10+Parameter!$C$11)+S12*((Parameter!$C$12+Parameter!$C$13)/2+Parameter!$C$58)</f>
        <v>421.2149990625</v>
      </c>
      <c r="U12" s="40" t="n">
        <f aca="false">R12*(Parameter!$C$10+Parameter!$C$11)+S12*((Parameter!$C$12+Parameter!$C$13)/2+Parameter!$C$15)</f>
        <v>421.2149990625</v>
      </c>
      <c r="V12" s="40" t="n">
        <f aca="false">MIN(H12,I12)*Parameter!$C$10+MIN(H12,J12)*(0.96*(Parameter!$C$12+Parameter!$C$13)/2+Parameter!$C$58)</f>
        <v>15552.1717224609</v>
      </c>
      <c r="W12" s="40" t="n">
        <f aca="false">MIN(H12-M12,I12)*Parameter!$C$10+MIN(H12-M12,J12)*(0.96*(Parameter!$C$12+Parameter!$C$13)/2+Parameter!$C$58)</f>
        <v>15182.6151666797</v>
      </c>
      <c r="X12" s="40" t="n">
        <f aca="false">MAX(0,H12-Parameter!$C$32*F12-Parameter!$C$33-V12)</f>
        <v>65866.4035176141</v>
      </c>
      <c r="Y12" s="40" t="n">
        <f aca="false">MAX(0,H12-L12-Parameter!$C$32*F12-Parameter!$C$33-W12)</f>
        <v>62262.2336671453</v>
      </c>
      <c r="Z12" s="40" t="n">
        <f aca="false">MAX(0,(X12+IF(Eingaben!$C$14=3,Eingaben!$C$15,0))/Parameter!$C$57/F12)</f>
        <v>60850.3756185644</v>
      </c>
      <c r="AA12" s="40" t="n">
        <f aca="false">Parameter!$C$57*F12*(IF(Z12&lt;=Parameter!$C$18,0,IF(Z12&lt;=Parameter!$C$19,(Parameter!$C$22*(Z12-Parameter!$C$18)/10000+Parameter!$C$23)*(Z12-Parameter!$C$18)/10000,IF(Z12&lt;=Parameter!$C$20,(Parameter!$C$24*(Z12-Parameter!$C$19)/10000+Parameter!$C$25)*(Z12-Parameter!$C$19)/10000+Parameter!$C$26,IF(Z12&lt;=Parameter!$C$21,0.42*Z12-Parameter!$C$27,0.45*Z12-Parameter!$C$28)))))</f>
        <v>15762.9793656416</v>
      </c>
      <c r="AB12" s="40" t="n">
        <f aca="false">AA12+IF(AA12&lt;=(Parameter!$C$30*Parameter!$C$57*F12),0,MIN(Parameter!$C$29*AA12,Parameter!$C$31*(AA12-(Parameter!$C$30*Parameter!$C$57*F12))))+Eingaben!$C$16*AA12</f>
        <v>15762.9793656416</v>
      </c>
      <c r="AC12" s="40" t="n">
        <f aca="false">MAX(0,(Y12+IF(Eingaben!$C$14=3,Eingaben!$C$15,0))/Parameter!$C$57/F12)</f>
        <v>57520.6797875862</v>
      </c>
      <c r="AD12" s="40" t="n">
        <f aca="false">Parameter!$C$57*F12*(IF(AC12&lt;=Parameter!$C$18,0,IF(AC12&lt;=Parameter!$C$19,(Parameter!$C$22*(AC12-Parameter!$C$18)/10000+Parameter!$C$23)*(AC12-Parameter!$C$18)/10000,IF(AC12&lt;=Parameter!$C$20,(Parameter!$C$24*(AC12-Parameter!$C$19)/10000+Parameter!$C$25)*(AC12-Parameter!$C$19)/10000+Parameter!$C$26,IF(AC12&lt;=Parameter!$C$21,0.42*AC12-Parameter!$C$27,0.45*AC12-Parameter!$C$28)))))</f>
        <v>14382.6538235775</v>
      </c>
      <c r="AE12" s="40" t="n">
        <f aca="false">AD12+IF(AD12&lt;=(Parameter!$C$30*Parameter!$C$57*F12),0,MIN(Parameter!$C$29*AD12,Parameter!$C$31*(AD12-(Parameter!$C$30*Parameter!$C$57*F12))))+Eingaben!$C$16*AD12</f>
        <v>14382.6538235775</v>
      </c>
      <c r="AF12" s="40" t="n">
        <f aca="false">AB12-AE12</f>
        <v>1380.32554206411</v>
      </c>
      <c r="AG12" s="40" t="n">
        <f aca="false">MAX(0,K12-T12-AF12)</f>
        <v>2172.18586512339</v>
      </c>
      <c r="AH12" s="40" t="n">
        <f aca="false">MIN(AG12,Parameter!$C$49)</f>
        <v>2172.18586512339</v>
      </c>
      <c r="AI12" s="40" t="n">
        <f aca="false">Parameter!$C$44*MIN(AH12,Parameter!$C$45)+Parameter!$C$46*MAX(0,MIN(AH12,Parameter!$C$47)-Parameter!$C$45)</f>
        <v>540</v>
      </c>
      <c r="AJ12" s="40" t="n">
        <f aca="false">MIN(AH12,Parameter!$C$48)*Eingaben!$C$18*IF(4&lt;Eingaben!$C$19,1,0)</f>
        <v>0</v>
      </c>
      <c r="AK12" s="40" t="n">
        <f aca="false">MIN(AI12+AJ12,MAX(0,Parameter!$C$49-AH12))</f>
        <v>540</v>
      </c>
      <c r="AL12" s="40" t="n">
        <f aca="false">MIN(MIN(AH12,Parameter!$C$47)+AK12,Parameter!$C$50)</f>
        <v>2340</v>
      </c>
      <c r="AM12" s="40" t="n">
        <f aca="false">MAX(0,X12-AL12)</f>
        <v>63526.403517614</v>
      </c>
      <c r="AN12" s="40" t="n">
        <f aca="false">MAX(0,(AM12+IF(Eingaben!$C$14=3,Eingaben!$C$15,0))/Parameter!$C$57/F12)</f>
        <v>58688.5773216624</v>
      </c>
      <c r="AO12" s="40" t="n">
        <f aca="false">Parameter!$C$57*F12*(IF(AN12&lt;=Parameter!$C$18,0,IF(AN12&lt;=Parameter!$C$19,(Parameter!$C$22*(AN12-Parameter!$C$18)/10000+Parameter!$C$23)*(AN12-Parameter!$C$18)/10000,IF(AN12&lt;=Parameter!$C$20,(Parameter!$C$24*(AN12-Parameter!$C$19)/10000+Parameter!$C$25)*(AN12-Parameter!$C$19)/10000+Parameter!$C$26,IF(AN12&lt;=Parameter!$C$21,0.42*AN12-Parameter!$C$27,0.45*AN12-Parameter!$C$28)))))</f>
        <v>14862.0751781191</v>
      </c>
      <c r="AP12" s="40" t="n">
        <f aca="false">AO12+IF(AO12&lt;=(Parameter!$C$30*Parameter!$C$57*F12),0,MIN(Parameter!$C$29*AO12,Parameter!$C$31*(AO12-(Parameter!$C$30*Parameter!$C$57*F12))))+Eingaben!$C$16*AO12</f>
        <v>14862.0751781191</v>
      </c>
      <c r="AQ12" s="40" t="n">
        <f aca="false">AB12-AP12</f>
        <v>900.904187522507</v>
      </c>
      <c r="AR12" s="40" t="n">
        <f aca="false">MAX(0,AQ12-AK12)</f>
        <v>360.904187522507</v>
      </c>
      <c r="AS12" s="40" t="n">
        <f aca="false">MIN(AH12,Parameter!$C$47)+AK12</f>
        <v>2340</v>
      </c>
      <c r="AT12" s="40" t="n">
        <f aca="false">MAX(0,AH12-Parameter!$C$47)+AR11</f>
        <v>730.454961790238</v>
      </c>
      <c r="AU12" s="40" t="n">
        <f aca="false">MAX(0,AG12-Parameter!$C$49)</f>
        <v>0</v>
      </c>
      <c r="AV12" s="40" t="n">
        <f aca="false">AG12</f>
        <v>2172.18586512339</v>
      </c>
      <c r="AW12" s="40" t="n">
        <f aca="false">IF(D12=0,AW11,AW11*(1+Parameter!$C$60)+P12*(1+Parameter!$C$60)^0.5)</f>
        <v>24458.7842512225</v>
      </c>
      <c r="AX12" s="40" t="n">
        <f aca="false">IF(D12=0,AX11,AX11*(1+Parameter!$C$60)+Q12*(1+Parameter!$C$60)^0.5)</f>
        <v>0</v>
      </c>
      <c r="AY12" s="40" t="n">
        <f aca="false">IF(D12=0,AY11,AY11*(1+Parameter!$C$61)+AS12*(1+Parameter!$C$61)^0.5)</f>
        <v>13749.3047983459</v>
      </c>
      <c r="AZ12" s="40" t="n">
        <f aca="false">IF(D12=0,AZ11,AZ11*(1+Parameter!$C$61)+AT12*(1+Parameter!$C$61)^0.5)</f>
        <v>3194.72471953038</v>
      </c>
      <c r="BA12" s="40" t="n">
        <f aca="false">IF(D12=0,BA11,BA11*(1+Parameter!$C$62)+AU12*(1+Parameter!$C$62)^0.5-BD12)</f>
        <v>0</v>
      </c>
      <c r="BB12" s="40" t="n">
        <f aca="false">IF(D12=0,BB11,BB11+AU12+BC12)</f>
        <v>0</v>
      </c>
      <c r="BC12" s="40" t="n">
        <f aca="false">MAX(0,MIN(BA11*(1+Parameter!$C$62)+AU12*(1+Parameter!$C$62)^0.5-BA11-AU12,BA11*Parameter!$C$39*Parameter!$C$40))</f>
        <v>0</v>
      </c>
      <c r="BD12" s="40" t="n">
        <f aca="false">MAX(0,BC12*(1-Parameter!$C$37)-Parameter!$C$67)*Parameter!$C$36</f>
        <v>0</v>
      </c>
      <c r="BE12" s="40" t="n">
        <f aca="false">IF(D12=0,BE11,BE11*(1+Parameter!$C$62)+AV12*(1+Parameter!$C$62)^0.5-BH12)</f>
        <v>12249.1360648602</v>
      </c>
      <c r="BF12" s="40" t="n">
        <f aca="false">IF(D12=0,BF11,BF11+AV12+BG12)</f>
        <v>10880.0415590715</v>
      </c>
      <c r="BG12" s="40" t="n">
        <f aca="false">MAX(0,MIN(BE11*(1+Parameter!$C$62)+AV12*(1+Parameter!$C$62)^0.5-BE11-AV12,BE11*Parameter!$C$39*Parameter!$C$40))</f>
        <v>209.82823411559</v>
      </c>
      <c r="BH12" s="40" t="n">
        <f aca="false">MAX(0,BG12*(1-Parameter!$C$37)-Parameter!$C$67)*Parameter!$C$36</f>
        <v>0</v>
      </c>
      <c r="BI12" s="38" t="n">
        <f aca="false">R12/(Parameter!$C$8*E12)</f>
        <v>0.0693054058216542</v>
      </c>
      <c r="BJ12" s="38" t="n">
        <f aca="false">BJ11+BI12</f>
        <v>0.34652702910827</v>
      </c>
    </row>
    <row r="13" customFormat="false" ht="15" hidden="false" customHeight="false" outlineLevel="0" collapsed="false">
      <c r="A13" s="32" t="n">
        <f aca="false">2026+5</f>
        <v>2031</v>
      </c>
      <c r="B13" s="32" t="n">
        <f aca="false">Eingaben!$C$5+5</f>
        <v>45</v>
      </c>
      <c r="C13" s="32" t="n">
        <f aca="false">IF(AND(B13&lt;Eingaben!$C$8,B13&lt;Eingaben!$C$6),1,0)</f>
        <v>1</v>
      </c>
      <c r="D13" s="32" t="n">
        <f aca="false">IF(B13&lt;Eingaben!$C$6,1,0)</f>
        <v>1</v>
      </c>
      <c r="E13" s="41" t="n">
        <f aca="false">(1+Eingaben!$C$13)^5</f>
        <v>1.13140821289062</v>
      </c>
      <c r="F13" s="41" t="n">
        <f aca="false">(1+Eingaben!$C$17)^5</f>
        <v>1.1040808032</v>
      </c>
      <c r="G13" s="42" t="n">
        <f aca="false">IF(B13&gt;=Eingaben!$C$9,Eingaben!$C$10,1)</f>
        <v>1</v>
      </c>
      <c r="H13" s="43" t="n">
        <f aca="false">Eingaben!$C$12*E13*G13*C13</f>
        <v>84855.6159667968</v>
      </c>
      <c r="I13" s="43" t="n">
        <f aca="false">Parameter!$C$4*E13</f>
        <v>114724.792787109</v>
      </c>
      <c r="J13" s="43" t="n">
        <f aca="false">Parameter!$C$5*E13</f>
        <v>78915.7228491211</v>
      </c>
      <c r="K13" s="43" t="n">
        <f aca="false">MIN(H13,12*(IF(Eingaben!$C$22=2,Umrechnung!$C$54,Eingaben!$C$23))*IF(Eingaben!$C$25=1,E13,1))*C13</f>
        <v>4073.06956640625</v>
      </c>
      <c r="L13" s="43" t="n">
        <f aca="false">MIN(K13,MAX(0,Parameter!$C$42*I13-N13))</f>
        <v>4073.06956640625</v>
      </c>
      <c r="M13" s="43" t="n">
        <f aca="false">MIN(K13,Parameter!$C$43*I13)</f>
        <v>4073.06956640625</v>
      </c>
      <c r="N13" s="43" t="n">
        <f aca="false">IF(Eingaben!$C$27=2,MIN(Eingaben!$C$26*K13,U13),Eingaben!$C$26*IF(Eingaben!$C$27=1,M13,K13))</f>
        <v>431.745374039063</v>
      </c>
      <c r="O13" s="43" t="n">
        <f aca="false">K13+N13</f>
        <v>4504.81494044531</v>
      </c>
      <c r="P13" s="43" t="n">
        <f aca="false">MIN(O13,Parameter!$C$42*I13)</f>
        <v>4504.81494044531</v>
      </c>
      <c r="Q13" s="43" t="n">
        <f aca="false">O13-P13</f>
        <v>0</v>
      </c>
      <c r="R13" s="43" t="n">
        <f aca="false">MIN(H13,I13)-MIN(H13-M13,I13)</f>
        <v>4073.06956640625</v>
      </c>
      <c r="S13" s="43" t="n">
        <f aca="false">MIN(H13,J13)-MIN(H13-M13,J13)</f>
        <v>0</v>
      </c>
      <c r="T13" s="43" t="n">
        <f aca="false">R13*(Parameter!$C$10+Parameter!$C$11)+S13*((Parameter!$C$12+Parameter!$C$13)/2+Parameter!$C$58)</f>
        <v>431.745374039063</v>
      </c>
      <c r="U13" s="43" t="n">
        <f aca="false">R13*(Parameter!$C$10+Parameter!$C$11)+S13*((Parameter!$C$12+Parameter!$C$13)/2+Parameter!$C$15)</f>
        <v>431.745374039063</v>
      </c>
      <c r="V13" s="43" t="n">
        <f aca="false">MIN(H13,I13)*Parameter!$C$10+MIN(H13,J13)*(0.96*(Parameter!$C$12+Parameter!$C$13)/2+Parameter!$C$58)</f>
        <v>15940.9760155225</v>
      </c>
      <c r="W13" s="43" t="n">
        <f aca="false">MIN(H13-M13,I13)*Parameter!$C$10+MIN(H13-M13,J13)*(0.96*(Parameter!$C$12+Parameter!$C$13)/2+Parameter!$C$58)</f>
        <v>15562.1805458467</v>
      </c>
      <c r="X13" s="43" t="n">
        <f aca="false">MAX(0,H13-Parameter!$C$32*F13-Parameter!$C$33-V13)</f>
        <v>67520.6205633384</v>
      </c>
      <c r="Y13" s="43" t="n">
        <f aca="false">MAX(0,H13-L13-Parameter!$C$32*F13-Parameter!$C$33-W13)</f>
        <v>63826.3464666079</v>
      </c>
      <c r="Z13" s="43" t="n">
        <f aca="false">MAX(0,(X13+IF(Eingaben!$C$14=3,Eingaben!$C$15,0))/Parameter!$C$57/F13)</f>
        <v>61155.5063430509</v>
      </c>
      <c r="AA13" s="43" t="n">
        <f aca="false">Parameter!$C$57*F13*(IF(Z13&lt;=Parameter!$C$18,0,IF(Z13&lt;=Parameter!$C$19,(Parameter!$C$22*(Z13-Parameter!$C$18)/10000+Parameter!$C$23)*(Z13-Parameter!$C$18)/10000,IF(Z13&lt;=Parameter!$C$20,(Parameter!$C$24*(Z13-Parameter!$C$19)/10000+Parameter!$C$25)*(Z13-Parameter!$C$19)/10000+Parameter!$C$26,IF(Z13&lt;=Parameter!$C$21,0.42*Z13-Parameter!$C$27,0.45*Z13-Parameter!$C$28)))))</f>
        <v>16209.3804128893</v>
      </c>
      <c r="AB13" s="43" t="n">
        <f aca="false">AA13+IF(AA13&lt;=(Parameter!$C$30*Parameter!$C$57*F13),0,MIN(Parameter!$C$29*AA13,Parameter!$C$31*(AA13-(Parameter!$C$30*Parameter!$C$57*F13))))+Eingaben!$C$16*AA13</f>
        <v>16209.3804128893</v>
      </c>
      <c r="AC13" s="43" t="n">
        <f aca="false">MAX(0,(Y13+IF(Eingaben!$C$14=3,Eingaben!$C$15,0))/Parameter!$C$57/F13)</f>
        <v>57809.4884736856</v>
      </c>
      <c r="AD13" s="43" t="n">
        <f aca="false">Parameter!$C$57*F13*(IF(AC13&lt;=Parameter!$C$18,0,IF(AC13&lt;=Parameter!$C$19,(Parameter!$C$22*(AC13-Parameter!$C$18)/10000+Parameter!$C$23)*(AC13-Parameter!$C$18)/10000,IF(AC13&lt;=Parameter!$C$20,(Parameter!$C$24*(AC13-Parameter!$C$19)/10000+Parameter!$C$25)*(AC13-Parameter!$C$19)/10000+Parameter!$C$26,IF(AC13&lt;=Parameter!$C$21,0.42*AC13-Parameter!$C$27,0.45*AC13-Parameter!$C$28)))))</f>
        <v>14790.7486153839</v>
      </c>
      <c r="AE13" s="43" t="n">
        <f aca="false">AD13+IF(AD13&lt;=(Parameter!$C$30*Parameter!$C$57*F13),0,MIN(Parameter!$C$29*AD13,Parameter!$C$31*(AD13-(Parameter!$C$30*Parameter!$C$57*F13))))+Eingaben!$C$16*AD13</f>
        <v>14790.7486153839</v>
      </c>
      <c r="AF13" s="43" t="n">
        <f aca="false">AB13-AE13</f>
        <v>1418.63179750532</v>
      </c>
      <c r="AG13" s="43" t="n">
        <f aca="false">MAX(0,K13-T13-AF13)</f>
        <v>2222.69239486186</v>
      </c>
      <c r="AH13" s="43" t="n">
        <f aca="false">MIN(AG13,Parameter!$C$49)</f>
        <v>2222.69239486186</v>
      </c>
      <c r="AI13" s="43" t="n">
        <f aca="false">Parameter!$C$44*MIN(AH13,Parameter!$C$45)+Parameter!$C$46*MAX(0,MIN(AH13,Parameter!$C$47)-Parameter!$C$45)</f>
        <v>540</v>
      </c>
      <c r="AJ13" s="43" t="n">
        <f aca="false">MIN(AH13,Parameter!$C$48)*Eingaben!$C$18*IF(5&lt;Eingaben!$C$19,1,0)</f>
        <v>0</v>
      </c>
      <c r="AK13" s="43" t="n">
        <f aca="false">MIN(AI13+AJ13,MAX(0,Parameter!$C$49-AH13))</f>
        <v>540</v>
      </c>
      <c r="AL13" s="43" t="n">
        <f aca="false">MIN(MIN(AH13,Parameter!$C$47)+AK13,Parameter!$C$50)</f>
        <v>2340</v>
      </c>
      <c r="AM13" s="43" t="n">
        <f aca="false">MAX(0,X13-AL13)</f>
        <v>65180.6205633384</v>
      </c>
      <c r="AN13" s="43" t="n">
        <f aca="false">MAX(0,(AM13+IF(Eingaben!$C$14=3,Eingaben!$C$15,0))/Parameter!$C$57/F13)</f>
        <v>59036.0962480489</v>
      </c>
      <c r="AO13" s="43" t="n">
        <f aca="false">Parameter!$C$57*F13*(IF(AN13&lt;=Parameter!$C$18,0,IF(AN13&lt;=Parameter!$C$19,(Parameter!$C$22*(AN13-Parameter!$C$18)/10000+Parameter!$C$23)*(AN13-Parameter!$C$18)/10000,IF(AN13&lt;=Parameter!$C$20,(Parameter!$C$24*(AN13-Parameter!$C$19)/10000+Parameter!$C$25)*(AN13-Parameter!$C$19)/10000+Parameter!$C$26,IF(AN13&lt;=Parameter!$C$21,0.42*AN13-Parameter!$C$27,0.45*AN13-Parameter!$C$28)))))</f>
        <v>15305.8326418499</v>
      </c>
      <c r="AP13" s="43" t="n">
        <f aca="false">AO13+IF(AO13&lt;=(Parameter!$C$30*Parameter!$C$57*F13),0,MIN(Parameter!$C$29*AO13,Parameter!$C$31*(AO13-(Parameter!$C$30*Parameter!$C$57*F13))))+Eingaben!$C$16*AO13</f>
        <v>15305.8326418499</v>
      </c>
      <c r="AQ13" s="43" t="n">
        <f aca="false">AB13-AP13</f>
        <v>903.547771039355</v>
      </c>
      <c r="AR13" s="43" t="n">
        <f aca="false">MAX(0,AQ13-AK13)</f>
        <v>363.547771039355</v>
      </c>
      <c r="AS13" s="43" t="n">
        <f aca="false">MIN(AH13,Parameter!$C$47)+AK13</f>
        <v>2340</v>
      </c>
      <c r="AT13" s="43" t="n">
        <f aca="false">MAX(0,AH13-Parameter!$C$47)+AR12</f>
        <v>783.596582384367</v>
      </c>
      <c r="AU13" s="43" t="n">
        <f aca="false">MAX(0,AG13-Parameter!$C$49)</f>
        <v>0</v>
      </c>
      <c r="AV13" s="43" t="n">
        <f aca="false">AG13</f>
        <v>2222.69239486186</v>
      </c>
      <c r="AW13" s="43" t="n">
        <f aca="false">IF(D13=0,AW12,AW12*(1+Parameter!$C$60)+P13*(1+Parameter!$C$60)^0.5)</f>
        <v>30670.8799774201</v>
      </c>
      <c r="AX13" s="43" t="n">
        <f aca="false">IF(D13=0,AX12,AX12*(1+Parameter!$C$60)+Q13*(1+Parameter!$C$60)^0.5)</f>
        <v>0</v>
      </c>
      <c r="AY13" s="43" t="n">
        <f aca="false">IF(D13=0,AY12,AY12*(1+Parameter!$C$61)+AS13*(1+Parameter!$C$61)^0.5)</f>
        <v>17057.8624007827</v>
      </c>
      <c r="AZ13" s="43" t="n">
        <f aca="false">IF(D13=0,AZ12,AZ12*(1+Parameter!$C$61)+AT13*(1+Parameter!$C$61)^0.5)</f>
        <v>4211.04438768102</v>
      </c>
      <c r="BA13" s="43" t="n">
        <f aca="false">IF(D13=0,BA12,BA12*(1+Parameter!$C$62)+AU13*(1+Parameter!$C$62)^0.5-BD13)</f>
        <v>0</v>
      </c>
      <c r="BB13" s="43" t="n">
        <f aca="false">IF(D13=0,BB12,BB12+AU13+BC13)</f>
        <v>0</v>
      </c>
      <c r="BC13" s="43" t="n">
        <f aca="false">MAX(0,MIN(BA12*(1+Parameter!$C$62)+AU13*(1+Parameter!$C$62)^0.5-BA12-AU13,BA12*Parameter!$C$39*Parameter!$C$40))</f>
        <v>0</v>
      </c>
      <c r="BD13" s="43" t="n">
        <f aca="false">MAX(0,BC13*(1-Parameter!$C$37)-Parameter!$C$67)*Parameter!$C$36</f>
        <v>0</v>
      </c>
      <c r="BE13" s="43" t="n">
        <f aca="false">IF(D13=0,BE12,BE12*(1+Parameter!$C$62)+AV13*(1+Parameter!$C$62)^0.5-BH13)</f>
        <v>15379.0984453765</v>
      </c>
      <c r="BF13" s="43" t="n">
        <f aca="false">IF(D13=0,BF12,BF12+AV13+BG13)</f>
        <v>13377.1146017862</v>
      </c>
      <c r="BG13" s="43" t="n">
        <f aca="false">MAX(0,MIN(BE12*(1+Parameter!$C$62)+AV13*(1+Parameter!$C$62)^0.5-BE12-AV13,BE12*Parameter!$C$39*Parameter!$C$40))</f>
        <v>274.380647852868</v>
      </c>
      <c r="BH13" s="43" t="n">
        <f aca="false">MAX(0,BG13*(1-Parameter!$C$37)-Parameter!$C$67)*Parameter!$C$36</f>
        <v>0</v>
      </c>
      <c r="BI13" s="41" t="n">
        <f aca="false">R13/(Parameter!$C$8*E13)</f>
        <v>0.0693054058216542</v>
      </c>
      <c r="BJ13" s="41" t="n">
        <f aca="false">BJ12+BI13</f>
        <v>0.415832434929925</v>
      </c>
    </row>
    <row r="14" customFormat="false" ht="15" hidden="false" customHeight="false" outlineLevel="0" collapsed="false">
      <c r="A14" s="30" t="n">
        <f aca="false">2026+6</f>
        <v>2032</v>
      </c>
      <c r="B14" s="30" t="n">
        <f aca="false">Eingaben!$C$5+6</f>
        <v>46</v>
      </c>
      <c r="C14" s="30" t="n">
        <f aca="false">IF(AND(B14&lt;Eingaben!$C$8,B14&lt;Eingaben!$C$6),1,0)</f>
        <v>1</v>
      </c>
      <c r="D14" s="30" t="n">
        <f aca="false">IF(B14&lt;Eingaben!$C$6,1,0)</f>
        <v>1</v>
      </c>
      <c r="E14" s="38" t="n">
        <f aca="false">(1+Eingaben!$C$13)^6</f>
        <v>1.15969341821289</v>
      </c>
      <c r="F14" s="38" t="n">
        <f aca="false">(1+Eingaben!$C$17)^6</f>
        <v>1.126162419264</v>
      </c>
      <c r="G14" s="39" t="n">
        <f aca="false">IF(B14&gt;=Eingaben!$C$9,Eingaben!$C$10,1)</f>
        <v>1</v>
      </c>
      <c r="H14" s="40" t="n">
        <f aca="false">Eingaben!$C$12*E14*G14*C14</f>
        <v>86977.0063659668</v>
      </c>
      <c r="I14" s="40" t="n">
        <f aca="false">Parameter!$C$4*E14</f>
        <v>117592.912606787</v>
      </c>
      <c r="J14" s="40" t="n">
        <f aca="false">Parameter!$C$5*E14</f>
        <v>80888.6159203491</v>
      </c>
      <c r="K14" s="40" t="n">
        <f aca="false">MIN(H14,12*(IF(Eingaben!$C$22=2,Umrechnung!$C$54,Eingaben!$C$23))*IF(Eingaben!$C$25=1,E14,1))*C14</f>
        <v>4174.8963055664</v>
      </c>
      <c r="L14" s="40" t="n">
        <f aca="false">MIN(K14,MAX(0,Parameter!$C$42*I14-N14))</f>
        <v>4174.8963055664</v>
      </c>
      <c r="M14" s="40" t="n">
        <f aca="false">MIN(K14,Parameter!$C$43*I14)</f>
        <v>4174.8963055664</v>
      </c>
      <c r="N14" s="40" t="n">
        <f aca="false">IF(Eingaben!$C$27=2,MIN(Eingaben!$C$26*K14,U14),Eingaben!$C$26*IF(Eingaben!$C$27=1,M14,K14))</f>
        <v>442.539008390039</v>
      </c>
      <c r="O14" s="40" t="n">
        <f aca="false">K14+N14</f>
        <v>4617.43531395644</v>
      </c>
      <c r="P14" s="40" t="n">
        <f aca="false">MIN(O14,Parameter!$C$42*I14)</f>
        <v>4617.43531395644</v>
      </c>
      <c r="Q14" s="40" t="n">
        <f aca="false">O14-P14</f>
        <v>0</v>
      </c>
      <c r="R14" s="40" t="n">
        <f aca="false">MIN(H14,I14)-MIN(H14-M14,I14)</f>
        <v>4174.89630556641</v>
      </c>
      <c r="S14" s="40" t="n">
        <f aca="false">MIN(H14,J14)-MIN(H14-M14,J14)</f>
        <v>0</v>
      </c>
      <c r="T14" s="40" t="n">
        <f aca="false">R14*(Parameter!$C$10+Parameter!$C$11)+S14*((Parameter!$C$12+Parameter!$C$13)/2+Parameter!$C$58)</f>
        <v>442.539008390039</v>
      </c>
      <c r="U14" s="40" t="n">
        <f aca="false">R14*(Parameter!$C$10+Parameter!$C$11)+S14*((Parameter!$C$12+Parameter!$C$13)/2+Parameter!$C$15)</f>
        <v>442.539008390039</v>
      </c>
      <c r="V14" s="40" t="n">
        <f aca="false">MIN(H14,I14)*Parameter!$C$10+MIN(H14,J14)*(0.96*(Parameter!$C$12+Parameter!$C$13)/2+Parameter!$C$58)</f>
        <v>16339.5004159105</v>
      </c>
      <c r="W14" s="40" t="n">
        <f aca="false">MIN(H14-M14,I14)*Parameter!$C$10+MIN(H14-M14,J14)*(0.96*(Parameter!$C$12+Parameter!$C$13)/2+Parameter!$C$58)</f>
        <v>15951.2350594928</v>
      </c>
      <c r="X14" s="40" t="n">
        <f aca="false">MAX(0,H14-Parameter!$C$32*F14-Parameter!$C$33-V14)</f>
        <v>69216.3261743615</v>
      </c>
      <c r="Y14" s="40" t="n">
        <f aca="false">MAX(0,H14-L14-Parameter!$C$32*F14-Parameter!$C$33-W14)</f>
        <v>65429.6952252128</v>
      </c>
      <c r="Z14" s="40" t="n">
        <f aca="false">MAX(0,(X14+IF(Eingaben!$C$14=3,Eingaben!$C$15,0))/Parameter!$C$57/F14)</f>
        <v>61462.1168228981</v>
      </c>
      <c r="AA14" s="40" t="n">
        <f aca="false">Parameter!$C$57*F14*(IF(Z14&lt;=Parameter!$C$18,0,IF(Z14&lt;=Parameter!$C$19,(Parameter!$C$22*(Z14-Parameter!$C$18)/10000+Parameter!$C$23)*(Z14-Parameter!$C$18)/10000,IF(Z14&lt;=Parameter!$C$20,(Parameter!$C$24*(Z14-Parameter!$C$19)/10000+Parameter!$C$25)*(Z14-Parameter!$C$19)/10000+Parameter!$C$26,IF(Z14&lt;=Parameter!$C$21,0.42*Z14-Parameter!$C$27,0.45*Z14-Parameter!$C$28)))))</f>
        <v>16668.3466499483</v>
      </c>
      <c r="AB14" s="40" t="n">
        <f aca="false">AA14+IF(AA14&lt;=(Parameter!$C$30*Parameter!$C$57*F14),0,MIN(Parameter!$C$29*AA14,Parameter!$C$31*(AA14-(Parameter!$C$30*Parameter!$C$57*F14))))+Eingaben!$C$16*AA14</f>
        <v>16668.3466499483</v>
      </c>
      <c r="AC14" s="40" t="n">
        <f aca="false">MAX(0,(Y14+IF(Eingaben!$C$14=3,Eingaben!$C$15,0))/Parameter!$C$57/F14)</f>
        <v>58099.6969051535</v>
      </c>
      <c r="AD14" s="40" t="n">
        <f aca="false">Parameter!$C$57*F14*(IF(AC14&lt;=Parameter!$C$18,0,IF(AC14&lt;=Parameter!$C$19,(Parameter!$C$22*(AC14-Parameter!$C$18)/10000+Parameter!$C$23)*(AC14-Parameter!$C$18)/10000,IF(AC14&lt;=Parameter!$C$20,(Parameter!$C$24*(AC14-Parameter!$C$19)/10000+Parameter!$C$25)*(AC14-Parameter!$C$19)/10000+Parameter!$C$26,IF(AC14&lt;=Parameter!$C$21,0.42*AC14-Parameter!$C$27,0.45*AC14-Parameter!$C$28)))))</f>
        <v>15210.3371135505</v>
      </c>
      <c r="AE14" s="40" t="n">
        <f aca="false">AD14+IF(AD14&lt;=(Parameter!$C$30*Parameter!$C$57*F14),0,MIN(Parameter!$C$29*AD14,Parameter!$C$31*(AD14-(Parameter!$C$30*Parameter!$C$57*F14))))+Eingaben!$C$16*AD14</f>
        <v>15210.3371135505</v>
      </c>
      <c r="AF14" s="40" t="n">
        <f aca="false">AB14-AE14</f>
        <v>1458.0095363978</v>
      </c>
      <c r="AG14" s="40" t="n">
        <f aca="false">MAX(0,K14-T14-AF14)</f>
        <v>2274.34776077857</v>
      </c>
      <c r="AH14" s="40" t="n">
        <f aca="false">MIN(AG14,Parameter!$C$49)</f>
        <v>2274.34776077857</v>
      </c>
      <c r="AI14" s="40" t="n">
        <f aca="false">Parameter!$C$44*MIN(AH14,Parameter!$C$45)+Parameter!$C$46*MAX(0,MIN(AH14,Parameter!$C$47)-Parameter!$C$45)</f>
        <v>540</v>
      </c>
      <c r="AJ14" s="40" t="n">
        <f aca="false">MIN(AH14,Parameter!$C$48)*Eingaben!$C$18*IF(6&lt;Eingaben!$C$19,1,0)</f>
        <v>0</v>
      </c>
      <c r="AK14" s="40" t="n">
        <f aca="false">MIN(AI14+AJ14,MAX(0,Parameter!$C$49-AH14))</f>
        <v>540</v>
      </c>
      <c r="AL14" s="40" t="n">
        <f aca="false">MIN(MIN(AH14,Parameter!$C$47)+AK14,Parameter!$C$50)</f>
        <v>2340</v>
      </c>
      <c r="AM14" s="40" t="n">
        <f aca="false">MAX(0,X14-AL14)</f>
        <v>66876.3261743615</v>
      </c>
      <c r="AN14" s="40" t="n">
        <f aca="false">MAX(0,(AM14+IF(Eingaben!$C$14=3,Eingaben!$C$15,0))/Parameter!$C$57/F14)</f>
        <v>59384.2637885824</v>
      </c>
      <c r="AO14" s="40" t="n">
        <f aca="false">Parameter!$C$57*F14*(IF(AN14&lt;=Parameter!$C$18,0,IF(AN14&lt;=Parameter!$C$19,(Parameter!$C$22*(AN14-Parameter!$C$18)/10000+Parameter!$C$23)*(AN14-Parameter!$C$18)/10000,IF(AN14&lt;=Parameter!$C$20,(Parameter!$C$24*(AN14-Parameter!$C$19)/10000+Parameter!$C$25)*(AN14-Parameter!$C$19)/10000+Parameter!$C$26,IF(AN14&lt;=Parameter!$C$21,0.42*AN14-Parameter!$C$27,0.45*AN14-Parameter!$C$28)))))</f>
        <v>15762.1466743462</v>
      </c>
      <c r="AP14" s="40" t="n">
        <f aca="false">AO14+IF(AO14&lt;=(Parameter!$C$30*Parameter!$C$57*F14),0,MIN(Parameter!$C$29*AO14,Parameter!$C$31*(AO14-(Parameter!$C$30*Parameter!$C$57*F14))))+Eingaben!$C$16*AO14</f>
        <v>15762.1466743462</v>
      </c>
      <c r="AQ14" s="40" t="n">
        <f aca="false">AB14-AP14</f>
        <v>906.199975602025</v>
      </c>
      <c r="AR14" s="40" t="n">
        <f aca="false">MAX(0,AQ14-AK14)</f>
        <v>366.199975602025</v>
      </c>
      <c r="AS14" s="40" t="n">
        <f aca="false">MIN(AH14,Parameter!$C$47)+AK14</f>
        <v>2340</v>
      </c>
      <c r="AT14" s="40" t="n">
        <f aca="false">MAX(0,AH14-Parameter!$C$47)+AR13</f>
        <v>837.895531817921</v>
      </c>
      <c r="AU14" s="40" t="n">
        <f aca="false">MAX(0,AG14-Parameter!$C$49)</f>
        <v>0</v>
      </c>
      <c r="AV14" s="40" t="n">
        <f aca="false">AG14</f>
        <v>2274.34776077857</v>
      </c>
      <c r="AW14" s="40" t="n">
        <f aca="false">IF(D14=0,AW13,AW13*(1+Parameter!$C$60)+P14*(1+Parameter!$C$60)^0.5)</f>
        <v>37396.7181684474</v>
      </c>
      <c r="AX14" s="40" t="n">
        <f aca="false">IF(D14=0,AX13,AX13*(1+Parameter!$C$60)+Q14*(1+Parameter!$C$60)^0.5)</f>
        <v>0</v>
      </c>
      <c r="AY14" s="40" t="n">
        <f aca="false">IF(D14=0,AY13,AY13*(1+Parameter!$C$61)+AS14*(1+Parameter!$C$61)^0.5)</f>
        <v>20581.476247378</v>
      </c>
      <c r="AZ14" s="40" t="n">
        <f aca="false">IF(D14=0,AZ13,AZ13*(1+Parameter!$C$61)+AT14*(1+Parameter!$C$61)^0.5)</f>
        <v>5349.46071869019</v>
      </c>
      <c r="BA14" s="40" t="n">
        <f aca="false">IF(D14=0,BA13,BA13*(1+Parameter!$C$62)+AU14*(1+Parameter!$C$62)^0.5-BD14)</f>
        <v>0</v>
      </c>
      <c r="BB14" s="40" t="n">
        <f aca="false">IF(D14=0,BB13,BB13+AU14+BC14)</f>
        <v>0</v>
      </c>
      <c r="BC14" s="40" t="n">
        <f aca="false">MAX(0,MIN(BA13*(1+Parameter!$C$62)+AU14*(1+Parameter!$C$62)^0.5-BA13-AU14,BA13*Parameter!$C$39*Parameter!$C$40))</f>
        <v>0</v>
      </c>
      <c r="BD14" s="40" t="n">
        <f aca="false">MAX(0,BC14*(1-Parameter!$C$37)-Parameter!$C$67)*Parameter!$C$36</f>
        <v>0</v>
      </c>
      <c r="BE14" s="40" t="n">
        <f aca="false">IF(D14=0,BE13,BE13*(1+Parameter!$C$62)+AV14*(1+Parameter!$C$62)^0.5-BH14)</f>
        <v>18775.2810332667</v>
      </c>
      <c r="BF14" s="40" t="n">
        <f aca="false">IF(D14=0,BF13,BF13+AV14+BG14)</f>
        <v>15995.9541677412</v>
      </c>
      <c r="BG14" s="40" t="n">
        <f aca="false">MAX(0,MIN(BE13*(1+Parameter!$C$62)+AV14*(1+Parameter!$C$62)^0.5-BE13-AV14,BE13*Parameter!$C$39*Parameter!$C$40))</f>
        <v>344.491805176435</v>
      </c>
      <c r="BH14" s="40" t="n">
        <f aca="false">MAX(0,BG14*(1-Parameter!$C$37)-Parameter!$C$67)*Parameter!$C$36</f>
        <v>0</v>
      </c>
      <c r="BI14" s="38" t="n">
        <f aca="false">R14/(Parameter!$C$8*E14)</f>
        <v>0.0693054058216541</v>
      </c>
      <c r="BJ14" s="38" t="n">
        <f aca="false">BJ13+BI14</f>
        <v>0.485137840751579</v>
      </c>
    </row>
    <row r="15" customFormat="false" ht="15" hidden="false" customHeight="false" outlineLevel="0" collapsed="false">
      <c r="A15" s="32" t="n">
        <f aca="false">2026+7</f>
        <v>2033</v>
      </c>
      <c r="B15" s="32" t="n">
        <f aca="false">Eingaben!$C$5+7</f>
        <v>47</v>
      </c>
      <c r="C15" s="32" t="n">
        <f aca="false">IF(AND(B15&lt;Eingaben!$C$8,B15&lt;Eingaben!$C$6),1,0)</f>
        <v>1</v>
      </c>
      <c r="D15" s="32" t="n">
        <f aca="false">IF(B15&lt;Eingaben!$C$6,1,0)</f>
        <v>1</v>
      </c>
      <c r="E15" s="41" t="n">
        <f aca="false">(1+Eingaben!$C$13)^7</f>
        <v>1.18868575366821</v>
      </c>
      <c r="F15" s="41" t="n">
        <f aca="false">(1+Eingaben!$C$17)^7</f>
        <v>1.14868566764928</v>
      </c>
      <c r="G15" s="42" t="n">
        <f aca="false">IF(B15&gt;=Eingaben!$C$9,Eingaben!$C$10,1)</f>
        <v>1</v>
      </c>
      <c r="H15" s="43" t="n">
        <f aca="false">Eingaben!$C$12*E15*G15*C15</f>
        <v>89151.4315251159</v>
      </c>
      <c r="I15" s="43" t="n">
        <f aca="false">Parameter!$C$4*E15</f>
        <v>120532.735421957</v>
      </c>
      <c r="J15" s="43" t="n">
        <f aca="false">Parameter!$C$5*E15</f>
        <v>82910.8313183578</v>
      </c>
      <c r="K15" s="43" t="n">
        <f aca="false">MIN(H15,12*(IF(Eingaben!$C$22=2,Umrechnung!$C$54,Eingaben!$C$23))*IF(Eingaben!$C$25=1,E15,1))*C15</f>
        <v>4279.26871320556</v>
      </c>
      <c r="L15" s="43" t="n">
        <f aca="false">MIN(K15,MAX(0,Parameter!$C$42*I15-N15))</f>
        <v>4279.26871320556</v>
      </c>
      <c r="M15" s="43" t="n">
        <f aca="false">MIN(K15,Parameter!$C$43*I15)</f>
        <v>4279.26871320556</v>
      </c>
      <c r="N15" s="43" t="n">
        <f aca="false">IF(Eingaben!$C$27=2,MIN(Eingaben!$C$26*K15,U15),Eingaben!$C$26*IF(Eingaben!$C$27=1,M15,K15))</f>
        <v>453.602483599789</v>
      </c>
      <c r="O15" s="43" t="n">
        <f aca="false">K15+N15</f>
        <v>4732.87119680535</v>
      </c>
      <c r="P15" s="43" t="n">
        <f aca="false">MIN(O15,Parameter!$C$42*I15)</f>
        <v>4732.87119680535</v>
      </c>
      <c r="Q15" s="43" t="n">
        <f aca="false">O15-P15</f>
        <v>0</v>
      </c>
      <c r="R15" s="43" t="n">
        <f aca="false">MIN(H15,I15)-MIN(H15-M15,I15)</f>
        <v>4279.26871320556</v>
      </c>
      <c r="S15" s="43" t="n">
        <f aca="false">MIN(H15,J15)-MIN(H15-M15,J15)</f>
        <v>0</v>
      </c>
      <c r="T15" s="43" t="n">
        <f aca="false">R15*(Parameter!$C$10+Parameter!$C$11)+S15*((Parameter!$C$12+Parameter!$C$13)/2+Parameter!$C$58)</f>
        <v>453.602483599789</v>
      </c>
      <c r="U15" s="43" t="n">
        <f aca="false">R15*(Parameter!$C$10+Parameter!$C$11)+S15*((Parameter!$C$12+Parameter!$C$13)/2+Parameter!$C$15)</f>
        <v>453.602483599789</v>
      </c>
      <c r="V15" s="43" t="n">
        <f aca="false">MIN(H15,I15)*Parameter!$C$10+MIN(H15,J15)*(0.96*(Parameter!$C$12+Parameter!$C$13)/2+Parameter!$C$58)</f>
        <v>16747.9879263083</v>
      </c>
      <c r="W15" s="43" t="n">
        <f aca="false">MIN(H15-M15,I15)*Parameter!$C$10+MIN(H15-M15,J15)*(0.96*(Parameter!$C$12+Parameter!$C$13)/2+Parameter!$C$58)</f>
        <v>16350.0159359802</v>
      </c>
      <c r="X15" s="43" t="n">
        <f aca="false">MAX(0,H15-Parameter!$C$32*F15-Parameter!$C$33-V15)</f>
        <v>70954.560227599</v>
      </c>
      <c r="Y15" s="43" t="n">
        <f aca="false">MAX(0,H15-L15-Parameter!$C$32*F15-Parameter!$C$33-W15)</f>
        <v>67073.2635047216</v>
      </c>
      <c r="Z15" s="43" t="n">
        <f aca="false">MAX(0,(X15+IF(Eingaben!$C$14=3,Eingaben!$C$15,0))/Parameter!$C$57/F15)</f>
        <v>61770.2146252103</v>
      </c>
      <c r="AA15" s="43" t="n">
        <f aca="false">Parameter!$C$57*F15*(IF(Z15&lt;=Parameter!$C$18,0,IF(Z15&lt;=Parameter!$C$19,(Parameter!$C$22*(Z15-Parameter!$C$18)/10000+Parameter!$C$23)*(Z15-Parameter!$C$18)/10000,IF(Z15&lt;=Parameter!$C$20,(Parameter!$C$24*(Z15-Parameter!$C$19)/10000+Parameter!$C$25)*(Z15-Parameter!$C$19)/10000+Parameter!$C$26,IF(Z15&lt;=Parameter!$C$21,0.42*Z15-Parameter!$C$27,0.45*Z15-Parameter!$C$28)))))</f>
        <v>17140.2312303701</v>
      </c>
      <c r="AB15" s="43" t="n">
        <f aca="false">AA15+IF(AA15&lt;=(Parameter!$C$30*Parameter!$C$57*F15),0,MIN(Parameter!$C$29*AA15,Parameter!$C$31*(AA15-(Parameter!$C$30*Parameter!$C$57*F15))))+Eingaben!$C$16*AA15</f>
        <v>17140.2312303701</v>
      </c>
      <c r="AC15" s="43" t="n">
        <f aca="false">MAX(0,(Y15+IF(Eingaben!$C$14=3,Eingaben!$C$15,0))/Parameter!$C$57/F15)</f>
        <v>58391.3122568885</v>
      </c>
      <c r="AD15" s="43" t="n">
        <f aca="false">Parameter!$C$57*F15*(IF(AC15&lt;=Parameter!$C$18,0,IF(AC15&lt;=Parameter!$C$19,(Parameter!$C$22*(AC15-Parameter!$C$18)/10000+Parameter!$C$23)*(AC15-Parameter!$C$18)/10000,IF(AC15&lt;=Parameter!$C$20,(Parameter!$C$24*(AC15-Parameter!$C$19)/10000+Parameter!$C$25)*(AC15-Parameter!$C$19)/10000+Parameter!$C$26,IF(AC15&lt;=Parameter!$C$21,0.42*AC15-Parameter!$C$27,0.45*AC15-Parameter!$C$28)))))</f>
        <v>15641.7422679675</v>
      </c>
      <c r="AE15" s="43" t="n">
        <f aca="false">AD15+IF(AD15&lt;=(Parameter!$C$30*Parameter!$C$57*F15),0,MIN(Parameter!$C$29*AD15,Parameter!$C$31*(AD15-(Parameter!$C$30*Parameter!$C$57*F15))))+Eingaben!$C$16*AD15</f>
        <v>15641.7422679675</v>
      </c>
      <c r="AF15" s="43" t="n">
        <f aca="false">AB15-AE15</f>
        <v>1498.48896240252</v>
      </c>
      <c r="AG15" s="43" t="n">
        <f aca="false">MAX(0,K15-T15-AF15)</f>
        <v>2327.17726720326</v>
      </c>
      <c r="AH15" s="43" t="n">
        <f aca="false">MIN(AG15,Parameter!$C$49)</f>
        <v>2327.17726720326</v>
      </c>
      <c r="AI15" s="43" t="n">
        <f aca="false">Parameter!$C$44*MIN(AH15,Parameter!$C$45)+Parameter!$C$46*MAX(0,MIN(AH15,Parameter!$C$47)-Parameter!$C$45)</f>
        <v>540</v>
      </c>
      <c r="AJ15" s="43" t="n">
        <f aca="false">MIN(AH15,Parameter!$C$48)*Eingaben!$C$18*IF(7&lt;Eingaben!$C$19,1,0)</f>
        <v>0</v>
      </c>
      <c r="AK15" s="43" t="n">
        <f aca="false">MIN(AI15+AJ15,MAX(0,Parameter!$C$49-AH15))</f>
        <v>540</v>
      </c>
      <c r="AL15" s="43" t="n">
        <f aca="false">MIN(MIN(AH15,Parameter!$C$47)+AK15,Parameter!$C$50)</f>
        <v>2340</v>
      </c>
      <c r="AM15" s="43" t="n">
        <f aca="false">MAX(0,X15-AL15)</f>
        <v>68614.560227599</v>
      </c>
      <c r="AN15" s="43" t="n">
        <f aca="false">MAX(0,(AM15+IF(Eingaben!$C$14=3,Eingaben!$C$15,0))/Parameter!$C$57/F15)</f>
        <v>59733.1038072538</v>
      </c>
      <c r="AO15" s="43" t="n">
        <f aca="false">Parameter!$C$57*F15*(IF(AN15&lt;=Parameter!$C$18,0,IF(AN15&lt;=Parameter!$C$19,(Parameter!$C$22*(AN15-Parameter!$C$18)/10000+Parameter!$C$23)*(AN15-Parameter!$C$18)/10000,IF(AN15&lt;=Parameter!$C$20,(Parameter!$C$24*(AN15-Parameter!$C$19)/10000+Parameter!$C$25)*(AN15-Parameter!$C$19)/10000+Parameter!$C$26,IF(AN15&lt;=Parameter!$C$21,0.42*AN15-Parameter!$C$27,0.45*AN15-Parameter!$C$28)))))</f>
        <v>16231.3703018466</v>
      </c>
      <c r="AP15" s="43" t="n">
        <f aca="false">AO15+IF(AO15&lt;=(Parameter!$C$30*Parameter!$C$57*F15),0,MIN(Parameter!$C$29*AO15,Parameter!$C$31*(AO15-(Parameter!$C$30*Parameter!$C$57*F15))))+Eingaben!$C$16*AO15</f>
        <v>16231.3703018466</v>
      </c>
      <c r="AQ15" s="43" t="n">
        <f aca="false">AB15-AP15</f>
        <v>908.860928523436</v>
      </c>
      <c r="AR15" s="43" t="n">
        <f aca="false">MAX(0,AQ15-AK15)</f>
        <v>368.860928523436</v>
      </c>
      <c r="AS15" s="43" t="n">
        <f aca="false">MIN(AH15,Parameter!$C$47)+AK15</f>
        <v>2340</v>
      </c>
      <c r="AT15" s="43" t="n">
        <f aca="false">MAX(0,AH15-Parameter!$C$47)+AR14</f>
        <v>893.377242805282</v>
      </c>
      <c r="AU15" s="43" t="n">
        <f aca="false">MAX(0,AG15-Parameter!$C$49)</f>
        <v>0</v>
      </c>
      <c r="AV15" s="43" t="n">
        <f aca="false">AG15</f>
        <v>2327.17726720326</v>
      </c>
      <c r="AW15" s="43" t="n">
        <f aca="false">IF(D15=0,AW14,AW14*(1+Parameter!$C$60)+P15*(1+Parameter!$C$60)^0.5)</f>
        <v>44672.0825505122</v>
      </c>
      <c r="AX15" s="43" t="n">
        <f aca="false">IF(D15=0,AX14,AX14*(1+Parameter!$C$60)+Q15*(1+Parameter!$C$60)^0.5)</f>
        <v>0</v>
      </c>
      <c r="AY15" s="43" t="n">
        <f aca="false">IF(D15=0,AY14,AY14*(1+Parameter!$C$61)+AS15*(1+Parameter!$C$61)^0.5)</f>
        <v>24334.124994002</v>
      </c>
      <c r="AZ15" s="43" t="n">
        <f aca="false">IF(D15=0,AZ14,AZ14*(1+Parameter!$C$61)+AT15*(1+Parameter!$C$61)^0.5)</f>
        <v>6619.1305918141</v>
      </c>
      <c r="BA15" s="43" t="n">
        <f aca="false">IF(D15=0,BA14,BA14*(1+Parameter!$C$62)+AU15*(1+Parameter!$C$62)^0.5-BD15)</f>
        <v>0</v>
      </c>
      <c r="BB15" s="43" t="n">
        <f aca="false">IF(D15=0,BB14,BB14+AU15+BC15)</f>
        <v>0</v>
      </c>
      <c r="BC15" s="43" t="n">
        <f aca="false">MAX(0,MIN(BA14*(1+Parameter!$C$62)+AU15*(1+Parameter!$C$62)^0.5-BA14-AU15,BA14*Parameter!$C$39*Parameter!$C$40))</f>
        <v>0</v>
      </c>
      <c r="BD15" s="43" t="n">
        <f aca="false">MAX(0,BC15*(1-Parameter!$C$37)-Parameter!$C$67)*Parameter!$C$36</f>
        <v>0</v>
      </c>
      <c r="BE15" s="43" t="n">
        <f aca="false">IF(D15=0,BE14,BE14*(1+Parameter!$C$62)+AV15*(1+Parameter!$C$62)^0.5-BH15)</f>
        <v>22457.0002074022</v>
      </c>
      <c r="BF15" s="43" t="n">
        <f aca="false">IF(D15=0,BF14,BF14+AV15+BG15)</f>
        <v>18743.6977300897</v>
      </c>
      <c r="BG15" s="43" t="n">
        <f aca="false">MAX(0,MIN(BE14*(1+Parameter!$C$62)+AV15*(1+Parameter!$C$62)^0.5-BE14-AV15,BE14*Parameter!$C$39*Parameter!$C$40))</f>
        <v>420.566295145175</v>
      </c>
      <c r="BH15" s="43" t="n">
        <f aca="false">MAX(0,BG15*(1-Parameter!$C$37)-Parameter!$C$67)*Parameter!$C$36</f>
        <v>0</v>
      </c>
      <c r="BI15" s="41" t="n">
        <f aca="false">R15/(Parameter!$C$8*E15)</f>
        <v>0.069305405821654</v>
      </c>
      <c r="BJ15" s="41" t="n">
        <f aca="false">BJ14+BI15</f>
        <v>0.554443246573233</v>
      </c>
    </row>
    <row r="16" customFormat="false" ht="15" hidden="false" customHeight="false" outlineLevel="0" collapsed="false">
      <c r="A16" s="30" t="n">
        <f aca="false">2026+8</f>
        <v>2034</v>
      </c>
      <c r="B16" s="30" t="n">
        <f aca="false">Eingaben!$C$5+8</f>
        <v>48</v>
      </c>
      <c r="C16" s="30" t="n">
        <f aca="false">IF(AND(B16&lt;Eingaben!$C$8,B16&lt;Eingaben!$C$6),1,0)</f>
        <v>1</v>
      </c>
      <c r="D16" s="30" t="n">
        <f aca="false">IF(B16&lt;Eingaben!$C$6,1,0)</f>
        <v>1</v>
      </c>
      <c r="E16" s="38" t="n">
        <f aca="false">(1+Eingaben!$C$13)^8</f>
        <v>1.21840289750992</v>
      </c>
      <c r="F16" s="38" t="n">
        <f aca="false">(1+Eingaben!$C$17)^8</f>
        <v>1.17165938100227</v>
      </c>
      <c r="G16" s="39" t="n">
        <f aca="false">IF(B16&gt;=Eingaben!$C$9,Eingaben!$C$10,1)</f>
        <v>1</v>
      </c>
      <c r="H16" s="40" t="n">
        <f aca="false">Eingaben!$C$12*E16*G16*C16</f>
        <v>91380.2173132438</v>
      </c>
      <c r="I16" s="40" t="n">
        <f aca="false">Parameter!$C$4*E16</f>
        <v>123546.053807506</v>
      </c>
      <c r="J16" s="40" t="n">
        <f aca="false">Parameter!$C$5*E16</f>
        <v>84983.6021013167</v>
      </c>
      <c r="K16" s="40" t="n">
        <f aca="false">MIN(H16,12*(IF(Eingaben!$C$22=2,Umrechnung!$C$54,Eingaben!$C$23))*IF(Eingaben!$C$25=1,E16,1))*C16</f>
        <v>4386.2504310357</v>
      </c>
      <c r="L16" s="40" t="n">
        <f aca="false">MIN(K16,MAX(0,Parameter!$C$42*I16-N16))</f>
        <v>4386.2504310357</v>
      </c>
      <c r="M16" s="40" t="n">
        <f aca="false">MIN(K16,Parameter!$C$43*I16)</f>
        <v>4386.2504310357</v>
      </c>
      <c r="N16" s="40" t="n">
        <f aca="false">IF(Eingaben!$C$27=2,MIN(Eingaben!$C$26*K16,U16),Eingaben!$C$26*IF(Eingaben!$C$27=1,M16,K16))</f>
        <v>464.942545689785</v>
      </c>
      <c r="O16" s="40" t="n">
        <f aca="false">K16+N16</f>
        <v>4851.19297672549</v>
      </c>
      <c r="P16" s="40" t="n">
        <f aca="false">MIN(O16,Parameter!$C$42*I16)</f>
        <v>4851.19297672549</v>
      </c>
      <c r="Q16" s="40" t="n">
        <f aca="false">O16-P16</f>
        <v>0</v>
      </c>
      <c r="R16" s="40" t="n">
        <f aca="false">MIN(H16,I16)-MIN(H16-M16,I16)</f>
        <v>4386.2504310357</v>
      </c>
      <c r="S16" s="40" t="n">
        <f aca="false">MIN(H16,J16)-MIN(H16-M16,J16)</f>
        <v>0</v>
      </c>
      <c r="T16" s="40" t="n">
        <f aca="false">R16*(Parameter!$C$10+Parameter!$C$11)+S16*((Parameter!$C$12+Parameter!$C$13)/2+Parameter!$C$58)</f>
        <v>464.942545689785</v>
      </c>
      <c r="U16" s="40" t="n">
        <f aca="false">R16*(Parameter!$C$10+Parameter!$C$11)+S16*((Parameter!$C$12+Parameter!$C$13)/2+Parameter!$C$15)</f>
        <v>464.942545689785</v>
      </c>
      <c r="V16" s="40" t="n">
        <f aca="false">MIN(H16,I16)*Parameter!$C$10+MIN(H16,J16)*(0.96*(Parameter!$C$12+Parameter!$C$13)/2+Parameter!$C$58)</f>
        <v>17166.687624466</v>
      </c>
      <c r="W16" s="40" t="n">
        <f aca="false">MIN(H16-M16,I16)*Parameter!$C$10+MIN(H16-M16,J16)*(0.96*(Parameter!$C$12+Parameter!$C$13)/2+Parameter!$C$58)</f>
        <v>16758.7663343797</v>
      </c>
      <c r="X16" s="40" t="n">
        <f aca="false">MAX(0,H16-Parameter!$C$32*F16-Parameter!$C$33-V16)</f>
        <v>72736.388650145</v>
      </c>
      <c r="Y16" s="40" t="n">
        <f aca="false">MAX(0,H16-L16-Parameter!$C$32*F16-Parameter!$C$33-W16)</f>
        <v>68758.0595091956</v>
      </c>
      <c r="Z16" s="40" t="n">
        <f aca="false">MAX(0,(X16+IF(Eingaben!$C$14=3,Eingaben!$C$15,0))/Parameter!$C$57/F16)</f>
        <v>62079.8073480405</v>
      </c>
      <c r="AA16" s="40" t="n">
        <f aca="false">Parameter!$C$57*F16*(IF(Z16&lt;=Parameter!$C$18,0,IF(Z16&lt;=Parameter!$C$19,(Parameter!$C$22*(Z16-Parameter!$C$18)/10000+Parameter!$C$23)*(Z16-Parameter!$C$18)/10000,IF(Z16&lt;=Parameter!$C$20,(Parameter!$C$24*(Z16-Parameter!$C$19)/10000+Parameter!$C$25)*(Z16-Parameter!$C$19)/10000+Parameter!$C$26,IF(Z16&lt;=Parameter!$C$21,0.42*Z16-Parameter!$C$27,0.45*Z16-Parameter!$C$28)))))</f>
        <v>17625.3972451975</v>
      </c>
      <c r="AB16" s="40" t="n">
        <f aca="false">AA16+IF(AA16&lt;=(Parameter!$C$30*Parameter!$C$57*F16),0,MIN(Parameter!$C$29*AA16,Parameter!$C$31*(AA16-(Parameter!$C$30*Parameter!$C$57*F16))))+Eingaben!$C$16*AA16</f>
        <v>17625.3972451975</v>
      </c>
      <c r="AC16" s="40" t="n">
        <f aca="false">MAX(0,(Y16+IF(Eingaben!$C$14=3,Eingaben!$C$15,0))/Parameter!$C$57/F16)</f>
        <v>58684.3417328152</v>
      </c>
      <c r="AD16" s="40" t="n">
        <f aca="false">Parameter!$C$57*F16*(IF(AC16&lt;=Parameter!$C$18,0,IF(AC16&lt;=Parameter!$C$19,(Parameter!$C$22*(AC16-Parameter!$C$18)/10000+Parameter!$C$23)*(AC16-Parameter!$C$18)/10000,IF(AC16&lt;=Parameter!$C$20,(Parameter!$C$24*(AC16-Parameter!$C$19)/10000+Parameter!$C$25)*(AC16-Parameter!$C$19)/10000+Parameter!$C$26,IF(AC16&lt;=Parameter!$C$21,0.42*AC16-Parameter!$C$27,0.45*AC16-Parameter!$C$28)))))</f>
        <v>16085.2961083495</v>
      </c>
      <c r="AE16" s="40" t="n">
        <f aca="false">AD16+IF(AD16&lt;=(Parameter!$C$30*Parameter!$C$57*F16),0,MIN(Parameter!$C$29*AD16,Parameter!$C$31*(AD16-(Parameter!$C$30*Parameter!$C$57*F16))))+Eingaben!$C$16*AD16</f>
        <v>16085.2961083495</v>
      </c>
      <c r="AF16" s="40" t="n">
        <f aca="false">AB16-AE16</f>
        <v>1540.10113684797</v>
      </c>
      <c r="AG16" s="40" t="n">
        <f aca="false">MAX(0,K16-T16-AF16)</f>
        <v>2381.20674849795</v>
      </c>
      <c r="AH16" s="40" t="n">
        <f aca="false">MIN(AG16,Parameter!$C$49)</f>
        <v>2381.20674849795</v>
      </c>
      <c r="AI16" s="40" t="n">
        <f aca="false">Parameter!$C$44*MIN(AH16,Parameter!$C$45)+Parameter!$C$46*MAX(0,MIN(AH16,Parameter!$C$47)-Parameter!$C$45)</f>
        <v>540</v>
      </c>
      <c r="AJ16" s="40" t="n">
        <f aca="false">MIN(AH16,Parameter!$C$48)*Eingaben!$C$18*IF(8&lt;Eingaben!$C$19,1,0)</f>
        <v>0</v>
      </c>
      <c r="AK16" s="40" t="n">
        <f aca="false">MIN(AI16+AJ16,MAX(0,Parameter!$C$49-AH16))</f>
        <v>540</v>
      </c>
      <c r="AL16" s="40" t="n">
        <f aca="false">MIN(MIN(AH16,Parameter!$C$47)+AK16,Parameter!$C$50)</f>
        <v>2340</v>
      </c>
      <c r="AM16" s="40" t="n">
        <f aca="false">MAX(0,X16-AL16)</f>
        <v>70396.388650145</v>
      </c>
      <c r="AN16" s="40" t="n">
        <f aca="false">MAX(0,(AM16+IF(Eingaben!$C$14=3,Eingaben!$C$15,0))/Parameter!$C$57/F16)</f>
        <v>60082.6398794556</v>
      </c>
      <c r="AO16" s="40" t="n">
        <f aca="false">Parameter!$C$57*F16*(IF(AN16&lt;=Parameter!$C$18,0,IF(AN16&lt;=Parameter!$C$19,(Parameter!$C$22*(AN16-Parameter!$C$18)/10000+Parameter!$C$23)*(AN16-Parameter!$C$18)/10000,IF(AN16&lt;=Parameter!$C$20,(Parameter!$C$24*(AN16-Parameter!$C$19)/10000+Parameter!$C$25)*(AN16-Parameter!$C$19)/10000+Parameter!$C$26,IF(AN16&lt;=Parameter!$C$21,0.42*AN16-Parameter!$C$27,0.45*AN16-Parameter!$C$28)))))</f>
        <v>16713.8664891247</v>
      </c>
      <c r="AP16" s="40" t="n">
        <f aca="false">AO16+IF(AO16&lt;=(Parameter!$C$30*Parameter!$C$57*F16),0,MIN(Parameter!$C$29*AO16,Parameter!$C$31*(AO16-(Parameter!$C$30*Parameter!$C$57*F16))))+Eingaben!$C$16*AO16</f>
        <v>16713.8664891247</v>
      </c>
      <c r="AQ16" s="40" t="n">
        <f aca="false">AB16-AP16</f>
        <v>911.530756072862</v>
      </c>
      <c r="AR16" s="40" t="n">
        <f aca="false">MAX(0,AQ16-AK16)</f>
        <v>371.530756072862</v>
      </c>
      <c r="AS16" s="40" t="n">
        <f aca="false">MIN(AH16,Parameter!$C$47)+AK16</f>
        <v>2340</v>
      </c>
      <c r="AT16" s="40" t="n">
        <f aca="false">MAX(0,AH16-Parameter!$C$47)+AR15</f>
        <v>950.067677021381</v>
      </c>
      <c r="AU16" s="40" t="n">
        <f aca="false">MAX(0,AG16-Parameter!$C$49)</f>
        <v>0</v>
      </c>
      <c r="AV16" s="40" t="n">
        <f aca="false">AG16</f>
        <v>2381.20674849795</v>
      </c>
      <c r="AW16" s="40" t="n">
        <f aca="false">IF(D16=0,AW15,AW15*(1+Parameter!$C$60)+P16*(1+Parameter!$C$60)^0.5)</f>
        <v>52535.1196135112</v>
      </c>
      <c r="AX16" s="40" t="n">
        <f aca="false">IF(D16=0,AX15,AX15*(1+Parameter!$C$60)+Q16*(1+Parameter!$C$60)^0.5)</f>
        <v>0</v>
      </c>
      <c r="AY16" s="40" t="n">
        <f aca="false">IF(D16=0,AY15,AY15*(1+Parameter!$C$61)+AS16*(1+Parameter!$C$61)^0.5)</f>
        <v>28330.6959091565</v>
      </c>
      <c r="AZ16" s="40" t="n">
        <f aca="false">IF(D16=0,AZ15,AZ15*(1+Parameter!$C$61)+AT16*(1+Parameter!$C$61)^0.5)</f>
        <v>8029.83287560728</v>
      </c>
      <c r="BA16" s="40" t="n">
        <f aca="false">IF(D16=0,BA15,BA15*(1+Parameter!$C$62)+AU16*(1+Parameter!$C$62)^0.5-BD16)</f>
        <v>0</v>
      </c>
      <c r="BB16" s="40" t="n">
        <f aca="false">IF(D16=0,BB15,BB15+AU16+BC16)</f>
        <v>0</v>
      </c>
      <c r="BC16" s="40" t="n">
        <f aca="false">MAX(0,MIN(BA15*(1+Parameter!$C$62)+AU16*(1+Parameter!$C$62)^0.5-BA15-AU16,BA15*Parameter!$C$39*Parameter!$C$40))</f>
        <v>0</v>
      </c>
      <c r="BD16" s="40" t="n">
        <f aca="false">MAX(0,BC16*(1-Parameter!$C$37)-Parameter!$C$67)*Parameter!$C$36</f>
        <v>0</v>
      </c>
      <c r="BE16" s="40" t="n">
        <f aca="false">IF(D16=0,BE15,BE15*(1+Parameter!$C$62)+AV16*(1+Parameter!$C$62)^0.5-BH16)</f>
        <v>26444.9125587028</v>
      </c>
      <c r="BF16" s="40" t="n">
        <f aca="false">IF(D16=0,BF15,BF15+AV16+BG16)</f>
        <v>21627.9412832334</v>
      </c>
      <c r="BG16" s="40" t="n">
        <f aca="false">MAX(0,MIN(BE15*(1+Parameter!$C$62)+AV16*(1+Parameter!$C$62)^0.5-BE15-AV16,BE15*Parameter!$C$39*Parameter!$C$40))</f>
        <v>503.03680464581</v>
      </c>
      <c r="BH16" s="40" t="n">
        <f aca="false">MAX(0,BG16*(1-Parameter!$C$37)-Parameter!$C$67)*Parameter!$C$36</f>
        <v>0</v>
      </c>
      <c r="BI16" s="38" t="n">
        <f aca="false">R16/(Parameter!$C$8*E16)</f>
        <v>0.0693054058216541</v>
      </c>
      <c r="BJ16" s="38" t="n">
        <f aca="false">BJ15+BI16</f>
        <v>0.623748652394887</v>
      </c>
    </row>
    <row r="17" customFormat="false" ht="15" hidden="false" customHeight="false" outlineLevel="0" collapsed="false">
      <c r="A17" s="32" t="n">
        <f aca="false">2026+9</f>
        <v>2035</v>
      </c>
      <c r="B17" s="32" t="n">
        <f aca="false">Eingaben!$C$5+9</f>
        <v>49</v>
      </c>
      <c r="C17" s="32" t="n">
        <f aca="false">IF(AND(B17&lt;Eingaben!$C$8,B17&lt;Eingaben!$C$6),1,0)</f>
        <v>1</v>
      </c>
      <c r="D17" s="32" t="n">
        <f aca="false">IF(B17&lt;Eingaben!$C$6,1,0)</f>
        <v>1</v>
      </c>
      <c r="E17" s="41" t="n">
        <f aca="false">(1+Eingaben!$C$13)^9</f>
        <v>1.24886296994767</v>
      </c>
      <c r="F17" s="41" t="n">
        <f aca="false">(1+Eingaben!$C$17)^9</f>
        <v>1.19509256862231</v>
      </c>
      <c r="G17" s="42" t="n">
        <f aca="false">IF(B17&gt;=Eingaben!$C$9,Eingaben!$C$10,1)</f>
        <v>1</v>
      </c>
      <c r="H17" s="43" t="n">
        <f aca="false">Eingaben!$C$12*E17*G17*C17</f>
        <v>93664.7227460749</v>
      </c>
      <c r="I17" s="43" t="n">
        <f aca="false">Parameter!$C$4*E17</f>
        <v>126634.705152693</v>
      </c>
      <c r="J17" s="43" t="n">
        <f aca="false">Parameter!$C$5*E17</f>
        <v>87108.1921538497</v>
      </c>
      <c r="K17" s="43" t="n">
        <f aca="false">MIN(H17,12*(IF(Eingaben!$C$22=2,Umrechnung!$C$54,Eingaben!$C$23))*IF(Eingaben!$C$25=1,E17,1))*C17</f>
        <v>4495.9066918116</v>
      </c>
      <c r="L17" s="43" t="n">
        <f aca="false">MIN(K17,MAX(0,Parameter!$C$42*I17-N17))</f>
        <v>4495.9066918116</v>
      </c>
      <c r="M17" s="43" t="n">
        <f aca="false">MIN(K17,Parameter!$C$43*I17)</f>
        <v>4495.9066918116</v>
      </c>
      <c r="N17" s="43" t="n">
        <f aca="false">IF(Eingaben!$C$27=2,MIN(Eingaben!$C$26*K17,U17),Eingaben!$C$26*IF(Eingaben!$C$27=1,M17,K17))</f>
        <v>476.56610933203</v>
      </c>
      <c r="O17" s="43" t="n">
        <f aca="false">K17+N17</f>
        <v>4972.47280114363</v>
      </c>
      <c r="P17" s="43" t="n">
        <f aca="false">MIN(O17,Parameter!$C$42*I17)</f>
        <v>4972.47280114363</v>
      </c>
      <c r="Q17" s="43" t="n">
        <f aca="false">O17-P17</f>
        <v>0</v>
      </c>
      <c r="R17" s="43" t="n">
        <f aca="false">MIN(H17,I17)-MIN(H17-M17,I17)</f>
        <v>4495.9066918116</v>
      </c>
      <c r="S17" s="43" t="n">
        <f aca="false">MIN(H17,J17)-MIN(H17-M17,J17)</f>
        <v>0</v>
      </c>
      <c r="T17" s="43" t="n">
        <f aca="false">R17*(Parameter!$C$10+Parameter!$C$11)+S17*((Parameter!$C$12+Parameter!$C$13)/2+Parameter!$C$58)</f>
        <v>476.56610933203</v>
      </c>
      <c r="U17" s="43" t="n">
        <f aca="false">R17*(Parameter!$C$10+Parameter!$C$11)+S17*((Parameter!$C$12+Parameter!$C$13)/2+Parameter!$C$15)</f>
        <v>476.56610933203</v>
      </c>
      <c r="V17" s="43" t="n">
        <f aca="false">MIN(H17,I17)*Parameter!$C$10+MIN(H17,J17)*(0.96*(Parameter!$C$12+Parameter!$C$13)/2+Parameter!$C$58)</f>
        <v>17595.8548150776</v>
      </c>
      <c r="W17" s="43" t="n">
        <f aca="false">MIN(H17-M17,I17)*Parameter!$C$10+MIN(H17-M17,J17)*(0.96*(Parameter!$C$12+Parameter!$C$13)/2+Parameter!$C$58)</f>
        <v>17177.7354927392</v>
      </c>
      <c r="X17" s="43" t="n">
        <f aca="false">MAX(0,H17-Parameter!$C$32*F17-Parameter!$C$33-V17)</f>
        <v>74562.9040715918</v>
      </c>
      <c r="Y17" s="43" t="n">
        <f aca="false">MAX(0,H17-L17-Parameter!$C$32*F17-Parameter!$C$33-W17)</f>
        <v>70485.1167021187</v>
      </c>
      <c r="Z17" s="43" t="n">
        <f aca="false">MAX(0,(X17+IF(Eingaben!$C$14=3,Eingaben!$C$15,0))/Parameter!$C$57/F17)</f>
        <v>62390.9026206623</v>
      </c>
      <c r="AA17" s="43" t="n">
        <f aca="false">Parameter!$C$57*F17*(IF(Z17&lt;=Parameter!$C$18,0,IF(Z17&lt;=Parameter!$C$19,(Parameter!$C$22*(Z17-Parameter!$C$18)/10000+Parameter!$C$23)*(Z17-Parameter!$C$18)/10000,IF(Z17&lt;=Parameter!$C$20,(Parameter!$C$24*(Z17-Parameter!$C$19)/10000+Parameter!$C$25)*(Z17-Parameter!$C$19)/10000+Parameter!$C$26,IF(Z17&lt;=Parameter!$C$21,0.42*Z17-Parameter!$C$27,0.45*Z17-Parameter!$C$28)))))</f>
        <v>18124.21800343</v>
      </c>
      <c r="AB17" s="43" t="n">
        <f aca="false">AA17+IF(AA17&lt;=(Parameter!$C$30*Parameter!$C$57*F17),0,MIN(Parameter!$C$29*AA17,Parameter!$C$31*(AA17-(Parameter!$C$30*Parameter!$C$57*F17))))+Eingaben!$C$16*AA17</f>
        <v>18124.21800343</v>
      </c>
      <c r="AC17" s="43" t="n">
        <f aca="false">MAX(0,(Y17+IF(Eingaben!$C$14=3,Eingaben!$C$15,0))/Parameter!$C$57/F17)</f>
        <v>58978.7925661467</v>
      </c>
      <c r="AD17" s="43" t="n">
        <f aca="false">Parameter!$C$57*F17*(IF(AC17&lt;=Parameter!$C$18,0,IF(AC17&lt;=Parameter!$C$19,(Parameter!$C$22*(AC17-Parameter!$C$18)/10000+Parameter!$C$23)*(AC17-Parameter!$C$18)/10000,IF(AC17&lt;=Parameter!$C$20,(Parameter!$C$24*(AC17-Parameter!$C$19)/10000+Parameter!$C$25)*(AC17-Parameter!$C$19)/10000+Parameter!$C$26,IF(AC17&lt;=Parameter!$C$21,0.42*AC17-Parameter!$C$27,0.45*AC17-Parameter!$C$28)))))</f>
        <v>16541.3400001785</v>
      </c>
      <c r="AE17" s="43" t="n">
        <f aca="false">AD17+IF(AD17&lt;=(Parameter!$C$30*Parameter!$C$57*F17),0,MIN(Parameter!$C$29*AD17,Parameter!$C$31*(AD17-(Parameter!$C$30*Parameter!$C$57*F17))))+Eingaben!$C$16*AD17</f>
        <v>16541.3400001785</v>
      </c>
      <c r="AF17" s="43" t="n">
        <f aca="false">AB17-AE17</f>
        <v>1582.87800325154</v>
      </c>
      <c r="AG17" s="43" t="n">
        <f aca="false">MAX(0,K17-T17-AF17)</f>
        <v>2436.46257922803</v>
      </c>
      <c r="AH17" s="43" t="n">
        <f aca="false">MIN(AG17,Parameter!$C$49)</f>
        <v>2436.46257922803</v>
      </c>
      <c r="AI17" s="43" t="n">
        <f aca="false">Parameter!$C$44*MIN(AH17,Parameter!$C$45)+Parameter!$C$46*MAX(0,MIN(AH17,Parameter!$C$47)-Parameter!$C$45)</f>
        <v>540</v>
      </c>
      <c r="AJ17" s="43" t="n">
        <f aca="false">MIN(AH17,Parameter!$C$48)*Eingaben!$C$18*IF(9&lt;Eingaben!$C$19,1,0)</f>
        <v>0</v>
      </c>
      <c r="AK17" s="43" t="n">
        <f aca="false">MIN(AI17+AJ17,MAX(0,Parameter!$C$49-AH17))</f>
        <v>540</v>
      </c>
      <c r="AL17" s="43" t="n">
        <f aca="false">MIN(MIN(AH17,Parameter!$C$47)+AK17,Parameter!$C$50)</f>
        <v>2340</v>
      </c>
      <c r="AM17" s="43" t="n">
        <f aca="false">MAX(0,X17-AL17)</f>
        <v>72222.9040715918</v>
      </c>
      <c r="AN17" s="43" t="n">
        <f aca="false">MAX(0,(AM17+IF(Eingaben!$C$14=3,Eingaben!$C$15,0))/Parameter!$C$57/F17)</f>
        <v>60432.8952985203</v>
      </c>
      <c r="AO17" s="43" t="n">
        <f aca="false">Parameter!$C$57*F17*(IF(AN17&lt;=Parameter!$C$18,0,IF(AN17&lt;=Parameter!$C$19,(Parameter!$C$22*(AN17-Parameter!$C$18)/10000+Parameter!$C$23)*(AN17-Parameter!$C$18)/10000,IF(AN17&lt;=Parameter!$C$20,(Parameter!$C$24*(AN17-Parameter!$C$19)/10000+Parameter!$C$25)*(AN17-Parameter!$C$19)/10000+Parameter!$C$26,IF(AN17&lt;=Parameter!$C$21,0.42*AN17-Parameter!$C$27,0.45*AN17-Parameter!$C$28)))))</f>
        <v>17210.0084199264</v>
      </c>
      <c r="AP17" s="43" t="n">
        <f aca="false">AO17+IF(AO17&lt;=(Parameter!$C$30*Parameter!$C$57*F17),0,MIN(Parameter!$C$29*AO17,Parameter!$C$31*(AO17-(Parameter!$C$30*Parameter!$C$57*F17))))+Eingaben!$C$16*AO17</f>
        <v>17210.0084199264</v>
      </c>
      <c r="AQ17" s="43" t="n">
        <f aca="false">AB17-AP17</f>
        <v>914.209583503562</v>
      </c>
      <c r="AR17" s="43" t="n">
        <f aca="false">MAX(0,AQ17-AK17)</f>
        <v>374.209583503562</v>
      </c>
      <c r="AS17" s="43" t="n">
        <f aca="false">MIN(AH17,Parameter!$C$47)+AK17</f>
        <v>2340</v>
      </c>
      <c r="AT17" s="43" t="n">
        <f aca="false">MAX(0,AH17-Parameter!$C$47)+AR16</f>
        <v>1007.99333530089</v>
      </c>
      <c r="AU17" s="43" t="n">
        <f aca="false">MAX(0,AG17-Parameter!$C$49)</f>
        <v>0</v>
      </c>
      <c r="AV17" s="43" t="n">
        <f aca="false">AG17</f>
        <v>2436.46257922803</v>
      </c>
      <c r="AW17" s="43" t="n">
        <f aca="false">IF(D17=0,AW16,AW16*(1+Parameter!$C$60)+P17*(1+Parameter!$C$60)^0.5)</f>
        <v>61026.4916430363</v>
      </c>
      <c r="AX17" s="43" t="n">
        <f aca="false">IF(D17=0,AX16,AX16*(1+Parameter!$C$60)+Q17*(1+Parameter!$C$60)^0.5)</f>
        <v>0</v>
      </c>
      <c r="AY17" s="43" t="n">
        <f aca="false">IF(D17=0,AY16,AY16*(1+Parameter!$C$61)+AS17*(1+Parameter!$C$61)^0.5)</f>
        <v>32587.043933796</v>
      </c>
      <c r="AZ17" s="43" t="n">
        <f aca="false">IF(D17=0,AZ16,AZ16*(1+Parameter!$C$61)+AT17*(1+Parameter!$C$61)^0.5)</f>
        <v>9592.0094136335</v>
      </c>
      <c r="BA17" s="43" t="n">
        <f aca="false">IF(D17=0,BA16,BA16*(1+Parameter!$C$62)+AU17*(1+Parameter!$C$62)^0.5-BD17)</f>
        <v>0</v>
      </c>
      <c r="BB17" s="43" t="n">
        <f aca="false">IF(D17=0,BB16,BB16+AU17+BC17)</f>
        <v>0</v>
      </c>
      <c r="BC17" s="43" t="n">
        <f aca="false">MAX(0,MIN(BA16*(1+Parameter!$C$62)+AU17*(1+Parameter!$C$62)^0.5-BA16-AU17,BA16*Parameter!$C$39*Parameter!$C$40))</f>
        <v>0</v>
      </c>
      <c r="BD17" s="43" t="n">
        <f aca="false">MAX(0,BC17*(1-Parameter!$C$37)-Parameter!$C$67)*Parameter!$C$36</f>
        <v>0</v>
      </c>
      <c r="BE17" s="43" t="n">
        <f aca="false">IF(D17=0,BE16,BE16*(1+Parameter!$C$62)+AV17*(1+Parameter!$C$62)^0.5-BH17)</f>
        <v>30761.1065828244</v>
      </c>
      <c r="BF17" s="43" t="n">
        <f aca="false">IF(D17=0,BF16,BF16+AV17+BG17)</f>
        <v>24656.7699037764</v>
      </c>
      <c r="BG17" s="43" t="n">
        <f aca="false">MAX(0,MIN(BE16*(1+Parameter!$C$62)+AV17*(1+Parameter!$C$62)^0.5-BE16-AV17,BE16*Parameter!$C$39*Parameter!$C$40))</f>
        <v>592.366041314944</v>
      </c>
      <c r="BH17" s="43" t="n">
        <f aca="false">MAX(0,BG17*(1-Parameter!$C$37)-Parameter!$C$67)*Parameter!$C$36</f>
        <v>0</v>
      </c>
      <c r="BI17" s="41" t="n">
        <f aca="false">R17/(Parameter!$C$8*E17)</f>
        <v>0.0693054058216542</v>
      </c>
      <c r="BJ17" s="41" t="n">
        <f aca="false">BJ16+BI17</f>
        <v>0.693054058216541</v>
      </c>
    </row>
    <row r="18" customFormat="false" ht="15" hidden="false" customHeight="false" outlineLevel="0" collapsed="false">
      <c r="A18" s="30" t="n">
        <f aca="false">2026+10</f>
        <v>2036</v>
      </c>
      <c r="B18" s="30" t="n">
        <f aca="false">Eingaben!$C$5+10</f>
        <v>50</v>
      </c>
      <c r="C18" s="30" t="n">
        <f aca="false">IF(AND(B18&lt;Eingaben!$C$8,B18&lt;Eingaben!$C$6),1,0)</f>
        <v>1</v>
      </c>
      <c r="D18" s="30" t="n">
        <f aca="false">IF(B18&lt;Eingaben!$C$6,1,0)</f>
        <v>1</v>
      </c>
      <c r="E18" s="38" t="n">
        <f aca="false">(1+Eingaben!$C$13)^10</f>
        <v>1.28008454419636</v>
      </c>
      <c r="F18" s="38" t="n">
        <f aca="false">(1+Eingaben!$C$17)^10</f>
        <v>1.21899441999476</v>
      </c>
      <c r="G18" s="39" t="n">
        <f aca="false">IF(B18&gt;=Eingaben!$C$9,Eingaben!$C$10,1)</f>
        <v>1</v>
      </c>
      <c r="H18" s="40" t="n">
        <f aca="false">Eingaben!$C$12*E18*G18*C18</f>
        <v>96006.3408147268</v>
      </c>
      <c r="I18" s="40" t="n">
        <f aca="false">Parameter!$C$4*E18</f>
        <v>129800.572781511</v>
      </c>
      <c r="J18" s="40" t="n">
        <f aca="false">Parameter!$C$5*E18</f>
        <v>89285.8969576959</v>
      </c>
      <c r="K18" s="40" t="n">
        <f aca="false">MIN(H18,12*(IF(Eingaben!$C$22=2,Umrechnung!$C$54,Eingaben!$C$23))*IF(Eingaben!$C$25=1,E18,1))*C18</f>
        <v>4608.30435910688</v>
      </c>
      <c r="L18" s="40" t="n">
        <f aca="false">MIN(K18,MAX(0,Parameter!$C$42*I18-N18))</f>
        <v>4608.30435910688</v>
      </c>
      <c r="M18" s="40" t="n">
        <f aca="false">MIN(K18,Parameter!$C$43*I18)</f>
        <v>4608.30435910688</v>
      </c>
      <c r="N18" s="40" t="n">
        <f aca="false">IF(Eingaben!$C$27=2,MIN(Eingaben!$C$26*K18,U18),Eingaben!$C$26*IF(Eingaben!$C$27=1,M18,K18))</f>
        <v>488.48026206533</v>
      </c>
      <c r="O18" s="40" t="n">
        <f aca="false">K18+N18</f>
        <v>5096.78462117221</v>
      </c>
      <c r="P18" s="40" t="n">
        <f aca="false">MIN(O18,Parameter!$C$42*I18)</f>
        <v>5096.78462117221</v>
      </c>
      <c r="Q18" s="40" t="n">
        <f aca="false">O18-P18</f>
        <v>0</v>
      </c>
      <c r="R18" s="40" t="n">
        <f aca="false">MIN(H18,I18)-MIN(H18-M18,I18)</f>
        <v>4608.30435910689</v>
      </c>
      <c r="S18" s="40" t="n">
        <f aca="false">MIN(H18,J18)-MIN(H18-M18,J18)</f>
        <v>0</v>
      </c>
      <c r="T18" s="40" t="n">
        <f aca="false">R18*(Parameter!$C$10+Parameter!$C$11)+S18*((Parameter!$C$12+Parameter!$C$13)/2+Parameter!$C$58)</f>
        <v>488.48026206533</v>
      </c>
      <c r="U18" s="40" t="n">
        <f aca="false">R18*(Parameter!$C$10+Parameter!$C$11)+S18*((Parameter!$C$12+Parameter!$C$13)/2+Parameter!$C$15)</f>
        <v>488.48026206533</v>
      </c>
      <c r="V18" s="40" t="n">
        <f aca="false">MIN(H18,I18)*Parameter!$C$10+MIN(H18,J18)*(0.96*(Parameter!$C$12+Parameter!$C$13)/2+Parameter!$C$58)</f>
        <v>18035.7511854546</v>
      </c>
      <c r="W18" s="40" t="n">
        <f aca="false">MIN(H18-M18,I18)*Parameter!$C$10+MIN(H18-M18,J18)*(0.96*(Parameter!$C$12+Parameter!$C$13)/2+Parameter!$C$58)</f>
        <v>17607.1788800576</v>
      </c>
      <c r="X18" s="40" t="n">
        <f aca="false">MAX(0,H18-Parameter!$C$32*F18-Parameter!$C$33-V18)</f>
        <v>76435.2264926786</v>
      </c>
      <c r="Y18" s="40" t="n">
        <f aca="false">MAX(0,H18-L18-Parameter!$C$32*F18-Parameter!$C$33-W18)</f>
        <v>72255.4944389687</v>
      </c>
      <c r="Z18" s="40" t="n">
        <f aca="false">MAX(0,(X18+IF(Eingaben!$C$14=3,Eingaben!$C$15,0))/Parameter!$C$57/F18)</f>
        <v>62703.5081038413</v>
      </c>
      <c r="AA18" s="40" t="n">
        <f aca="false">Parameter!$C$57*F18*(IF(Z18&lt;=Parameter!$C$18,0,IF(Z18&lt;=Parameter!$C$19,(Parameter!$C$22*(Z18-Parameter!$C$18)/10000+Parameter!$C$23)*(Z18-Parameter!$C$18)/10000,IF(Z18&lt;=Parameter!$C$20,(Parameter!$C$24*(Z18-Parameter!$C$19)/10000+Parameter!$C$25)*(Z18-Parameter!$C$19)/10000+Parameter!$C$26,IF(Z18&lt;=Parameter!$C$21,0.42*Z18-Parameter!$C$27,0.45*Z18-Parameter!$C$28)))))</f>
        <v>18637.0773204364</v>
      </c>
      <c r="AB18" s="40" t="n">
        <f aca="false">AA18+IF(AA18&lt;=(Parameter!$C$30*Parameter!$C$57*F18),0,MIN(Parameter!$C$29*AA18,Parameter!$C$31*(AA18-(Parameter!$C$30*Parameter!$C$57*F18))))+Eingaben!$C$16*AA18</f>
        <v>18637.0773204364</v>
      </c>
      <c r="AC18" s="40" t="n">
        <f aca="false">MAX(0,(Y18+IF(Eingaben!$C$14=3,Eingaben!$C$15,0))/Parameter!$C$57/F18)</f>
        <v>59274.6720196467</v>
      </c>
      <c r="AD18" s="40" t="n">
        <f aca="false">Parameter!$C$57*F18*(IF(AC18&lt;=Parameter!$C$18,0,IF(AC18&lt;=Parameter!$C$19,(Parameter!$C$22*(AC18-Parameter!$C$18)/10000+Parameter!$C$23)*(AC18-Parameter!$C$18)/10000,IF(AC18&lt;=Parameter!$C$20,(Parameter!$C$24*(AC18-Parameter!$C$19)/10000+Parameter!$C$25)*(AC18-Parameter!$C$19)/10000+Parameter!$C$26,IF(AC18&lt;=Parameter!$C$21,0.42*AC18-Parameter!$C$27,0.45*AC18-Parameter!$C$28)))))</f>
        <v>17010.2249078898</v>
      </c>
      <c r="AE18" s="40" t="n">
        <f aca="false">AD18+IF(AD18&lt;=(Parameter!$C$30*Parameter!$C$57*F18),0,MIN(Parameter!$C$29*AD18,Parameter!$C$31*(AD18-(Parameter!$C$30*Parameter!$C$57*F18))))+Eingaben!$C$16*AD18</f>
        <v>17010.2249078898</v>
      </c>
      <c r="AF18" s="40" t="n">
        <f aca="false">AB18-AE18</f>
        <v>1626.85241254651</v>
      </c>
      <c r="AG18" s="40" t="n">
        <f aca="false">MAX(0,K18-T18-AF18)</f>
        <v>2492.97168449504</v>
      </c>
      <c r="AH18" s="40" t="n">
        <f aca="false">MIN(AG18,Parameter!$C$49)</f>
        <v>2492.97168449504</v>
      </c>
      <c r="AI18" s="40" t="n">
        <f aca="false">Parameter!$C$44*MIN(AH18,Parameter!$C$45)+Parameter!$C$46*MAX(0,MIN(AH18,Parameter!$C$47)-Parameter!$C$45)</f>
        <v>540</v>
      </c>
      <c r="AJ18" s="40" t="n">
        <f aca="false">MIN(AH18,Parameter!$C$48)*Eingaben!$C$18*IF(10&lt;Eingaben!$C$19,1,0)</f>
        <v>0</v>
      </c>
      <c r="AK18" s="40" t="n">
        <f aca="false">MIN(AI18+AJ18,MAX(0,Parameter!$C$49-AH18))</f>
        <v>540</v>
      </c>
      <c r="AL18" s="40" t="n">
        <f aca="false">MIN(MIN(AH18,Parameter!$C$47)+AK18,Parameter!$C$50)</f>
        <v>2340</v>
      </c>
      <c r="AM18" s="40" t="n">
        <f aca="false">MAX(0,X18-AL18)</f>
        <v>74095.2264926786</v>
      </c>
      <c r="AN18" s="40" t="n">
        <f aca="false">MAX(0,(AM18+IF(Eingaben!$C$14=3,Eingaben!$C$15,0))/Parameter!$C$57/F18)</f>
        <v>60783.8930821335</v>
      </c>
      <c r="AO18" s="40" t="n">
        <f aca="false">Parameter!$C$57*F18*(IF(AN18&lt;=Parameter!$C$18,0,IF(AN18&lt;=Parameter!$C$19,(Parameter!$C$22*(AN18-Parameter!$C$18)/10000+Parameter!$C$23)*(AN18-Parameter!$C$18)/10000,IF(AN18&lt;=Parameter!$C$20,(Parameter!$C$24*(AN18-Parameter!$C$19)/10000+Parameter!$C$25)*(AN18-Parameter!$C$19)/10000+Parameter!$C$26,IF(AN18&lt;=Parameter!$C$21,0.42*AN18-Parameter!$C$27,0.45*AN18-Parameter!$C$28)))))</f>
        <v>17720.1797853565</v>
      </c>
      <c r="AP18" s="40" t="n">
        <f aca="false">AO18+IF(AO18&lt;=(Parameter!$C$30*Parameter!$C$57*F18),0,MIN(Parameter!$C$29*AO18,Parameter!$C$31*(AO18-(Parameter!$C$30*Parameter!$C$57*F18))))+Eingaben!$C$16*AO18</f>
        <v>17720.1797853565</v>
      </c>
      <c r="AQ18" s="40" t="n">
        <f aca="false">AB18-AP18</f>
        <v>916.897535079839</v>
      </c>
      <c r="AR18" s="40" t="n">
        <f aca="false">MAX(0,AQ18-AK18)</f>
        <v>376.897535079839</v>
      </c>
      <c r="AS18" s="40" t="n">
        <f aca="false">MIN(AH18,Parameter!$C$47)+AK18</f>
        <v>2340</v>
      </c>
      <c r="AT18" s="40" t="n">
        <f aca="false">MAX(0,AH18-Parameter!$C$47)+AR17</f>
        <v>1067.1812679986</v>
      </c>
      <c r="AU18" s="40" t="n">
        <f aca="false">MAX(0,AG18-Parameter!$C$49)</f>
        <v>0</v>
      </c>
      <c r="AV18" s="40" t="n">
        <f aca="false">AG18</f>
        <v>2492.97168449504</v>
      </c>
      <c r="AW18" s="40" t="n">
        <f aca="false">IF(D18=0,AW17,AW17*(1+Parameter!$C$60)+P18*(1+Parameter!$C$60)^0.5)</f>
        <v>70189.5395918076</v>
      </c>
      <c r="AX18" s="40" t="n">
        <f aca="false">IF(D18=0,AX17,AX17*(1+Parameter!$C$60)+Q18*(1+Parameter!$C$60)^0.5)</f>
        <v>0</v>
      </c>
      <c r="AY18" s="40" t="n">
        <f aca="false">IF(D18=0,AY17,AY17*(1+Parameter!$C$61)+AS18*(1+Parameter!$C$61)^0.5)</f>
        <v>37120.0545800371</v>
      </c>
      <c r="AZ18" s="40" t="n">
        <f aca="false">IF(D18=0,AZ17,AZ17*(1+Parameter!$C$61)+AT18*(1+Parameter!$C$61)^0.5)</f>
        <v>11316.8086849398</v>
      </c>
      <c r="BA18" s="40" t="n">
        <f aca="false">IF(D18=0,BA17,BA17*(1+Parameter!$C$62)+AU18*(1+Parameter!$C$62)^0.5-BD18)</f>
        <v>0</v>
      </c>
      <c r="BB18" s="40" t="n">
        <f aca="false">IF(D18=0,BB17,BB17+AU18+BC18)</f>
        <v>0</v>
      </c>
      <c r="BC18" s="40" t="n">
        <f aca="false">MAX(0,MIN(BA17*(1+Parameter!$C$62)+AU18*(1+Parameter!$C$62)^0.5-BA17-AU18,BA17*Parameter!$C$39*Parameter!$C$40))</f>
        <v>0</v>
      </c>
      <c r="BD18" s="40" t="n">
        <f aca="false">MAX(0,BC18*(1-Parameter!$C$37)-Parameter!$C$67)*Parameter!$C$36</f>
        <v>0</v>
      </c>
      <c r="BE18" s="40" t="n">
        <f aca="false">IF(D18=0,BE17,BE17*(1+Parameter!$C$62)+AV18*(1+Parameter!$C$62)^0.5-BH18)</f>
        <v>35429.2006186272</v>
      </c>
      <c r="BF18" s="40" t="n">
        <f aca="false">IF(D18=0,BF17,BF17+AV18+BG18)</f>
        <v>27838.7903757267</v>
      </c>
      <c r="BG18" s="40" t="n">
        <f aca="false">MAX(0,MIN(BE17*(1+Parameter!$C$62)+AV18*(1+Parameter!$C$62)^0.5-BE17-AV18,BE17*Parameter!$C$39*Parameter!$C$40))</f>
        <v>689.048787455266</v>
      </c>
      <c r="BH18" s="40" t="n">
        <f aca="false">MAX(0,BG18*(1-Parameter!$C$37)-Parameter!$C$67)*Parameter!$C$36</f>
        <v>0</v>
      </c>
      <c r="BI18" s="38" t="n">
        <f aca="false">R18/(Parameter!$C$8*E18)</f>
        <v>0.0693054058216541</v>
      </c>
      <c r="BJ18" s="38" t="n">
        <f aca="false">BJ17+BI18</f>
        <v>0.762359464038195</v>
      </c>
    </row>
    <row r="19" customFormat="false" ht="15" hidden="false" customHeight="false" outlineLevel="0" collapsed="false">
      <c r="A19" s="32" t="n">
        <f aca="false">2026+11</f>
        <v>2037</v>
      </c>
      <c r="B19" s="32" t="n">
        <f aca="false">Eingaben!$C$5+11</f>
        <v>51</v>
      </c>
      <c r="C19" s="32" t="n">
        <f aca="false">IF(AND(B19&lt;Eingaben!$C$8,B19&lt;Eingaben!$C$6),1,0)</f>
        <v>1</v>
      </c>
      <c r="D19" s="32" t="n">
        <f aca="false">IF(B19&lt;Eingaben!$C$6,1,0)</f>
        <v>1</v>
      </c>
      <c r="E19" s="41" t="n">
        <f aca="false">(1+Eingaben!$C$13)^11</f>
        <v>1.31208665780127</v>
      </c>
      <c r="F19" s="41" t="n">
        <f aca="false">(1+Eingaben!$C$17)^11</f>
        <v>1.24337430839465</v>
      </c>
      <c r="G19" s="42" t="n">
        <f aca="false">IF(B19&gt;=Eingaben!$C$9,Eingaben!$C$10,1)</f>
        <v>1</v>
      </c>
      <c r="H19" s="43" t="n">
        <f aca="false">Eingaben!$C$12*E19*G19*C19</f>
        <v>98406.4993350949</v>
      </c>
      <c r="I19" s="43" t="n">
        <f aca="false">Parameter!$C$4*E19</f>
        <v>133045.587101048</v>
      </c>
      <c r="J19" s="43" t="n">
        <f aca="false">Parameter!$C$5*E19</f>
        <v>91518.0443816383</v>
      </c>
      <c r="K19" s="43" t="n">
        <f aca="false">MIN(H19,12*(IF(Eingaben!$C$22=2,Umrechnung!$C$54,Eingaben!$C$23))*IF(Eingaben!$C$25=1,E19,1))*C19</f>
        <v>4723.51196808456</v>
      </c>
      <c r="L19" s="43" t="n">
        <f aca="false">MIN(K19,MAX(0,Parameter!$C$42*I19-N19))</f>
        <v>4723.51196808456</v>
      </c>
      <c r="M19" s="43" t="n">
        <f aca="false">MIN(K19,Parameter!$C$43*I19)</f>
        <v>4723.51196808456</v>
      </c>
      <c r="N19" s="43" t="n">
        <f aca="false">IF(Eingaben!$C$27=2,MIN(Eingaben!$C$26*K19,U19),Eingaben!$C$26*IF(Eingaben!$C$27=1,M19,K19))</f>
        <v>500.692268616963</v>
      </c>
      <c r="O19" s="43" t="n">
        <f aca="false">K19+N19</f>
        <v>5224.20423670152</v>
      </c>
      <c r="P19" s="43" t="n">
        <f aca="false">MIN(O19,Parameter!$C$42*I19)</f>
        <v>5224.20423670152</v>
      </c>
      <c r="Q19" s="43" t="n">
        <f aca="false">O19-P19</f>
        <v>0</v>
      </c>
      <c r="R19" s="43" t="n">
        <f aca="false">MIN(H19,I19)-MIN(H19-M19,I19)</f>
        <v>4723.51196808455</v>
      </c>
      <c r="S19" s="43" t="n">
        <f aca="false">MIN(H19,J19)-MIN(H19-M19,J19)</f>
        <v>0</v>
      </c>
      <c r="T19" s="43" t="n">
        <f aca="false">R19*(Parameter!$C$10+Parameter!$C$11)+S19*((Parameter!$C$12+Parameter!$C$13)/2+Parameter!$C$58)</f>
        <v>500.692268616963</v>
      </c>
      <c r="U19" s="43" t="n">
        <f aca="false">R19*(Parameter!$C$10+Parameter!$C$11)+S19*((Parameter!$C$12+Parameter!$C$13)/2+Parameter!$C$15)</f>
        <v>500.692268616963</v>
      </c>
      <c r="V19" s="43" t="n">
        <f aca="false">MIN(H19,I19)*Parameter!$C$10+MIN(H19,J19)*(0.96*(Parameter!$C$12+Parameter!$C$13)/2+Parameter!$C$58)</f>
        <v>18486.6449650909</v>
      </c>
      <c r="W19" s="43" t="n">
        <f aca="false">MIN(H19-M19,I19)*Parameter!$C$10+MIN(H19-M19,J19)*(0.96*(Parameter!$C$12+Parameter!$C$13)/2+Parameter!$C$58)</f>
        <v>18047.3583520591</v>
      </c>
      <c r="X19" s="43" t="n">
        <f aca="false">MAX(0,H19-Parameter!$C$32*F19-Parameter!$C$33-V19)</f>
        <v>78354.5039706786</v>
      </c>
      <c r="Y19" s="43" t="n">
        <f aca="false">MAX(0,H19-L19-Parameter!$C$32*F19-Parameter!$C$33-W19)</f>
        <v>74070.2786156259</v>
      </c>
      <c r="Z19" s="43" t="n">
        <f aca="false">MAX(0,(X19+IF(Eingaben!$C$14=3,Eingaben!$C$15,0))/Parameter!$C$57/F19)</f>
        <v>63017.6314901052</v>
      </c>
      <c r="AA19" s="43" t="n">
        <f aca="false">Parameter!$C$57*F19*(IF(Z19&lt;=Parameter!$C$18,0,IF(Z19&lt;=Parameter!$C$19,(Parameter!$C$22*(Z19-Parameter!$C$18)/10000+Parameter!$C$23)*(Z19-Parameter!$C$18)/10000,IF(Z19&lt;=Parameter!$C$20,(Parameter!$C$24*(Z19-Parameter!$C$19)/10000+Parameter!$C$25)*(Z19-Parameter!$C$19)/10000+Parameter!$C$26,IF(Z19&lt;=Parameter!$C$21,0.42*Z19-Parameter!$C$27,0.45*Z19-Parameter!$C$28)))))</f>
        <v>19164.3698145425</v>
      </c>
      <c r="AB19" s="43" t="n">
        <f aca="false">AA19+IF(AA19&lt;=(Parameter!$C$30*Parameter!$C$57*F19),0,MIN(Parameter!$C$29*AA19,Parameter!$C$31*(AA19-(Parameter!$C$30*Parameter!$C$57*F19))))+Eingaben!$C$16*AA19</f>
        <v>19164.3698145425</v>
      </c>
      <c r="AC19" s="43" t="n">
        <f aca="false">MAX(0,(Y19+IF(Eingaben!$C$14=3,Eingaben!$C$15,0))/Parameter!$C$57/F19)</f>
        <v>59571.9873858899</v>
      </c>
      <c r="AD19" s="43" t="n">
        <f aca="false">Parameter!$C$57*F19*(IF(AC19&lt;=Parameter!$C$18,0,IF(AC19&lt;=Parameter!$C$19,(Parameter!$C$22*(AC19-Parameter!$C$18)/10000+Parameter!$C$23)*(AC19-Parameter!$C$18)/10000,IF(AC19&lt;=Parameter!$C$20,(Parameter!$C$24*(AC19-Parameter!$C$19)/10000+Parameter!$C$25)*(AC19-Parameter!$C$19)/10000+Parameter!$C$26,IF(AC19&lt;=Parameter!$C$21,0.42*AC19-Parameter!$C$27,0.45*AC19-Parameter!$C$28)))))</f>
        <v>17492.3116655076</v>
      </c>
      <c r="AE19" s="43" t="n">
        <f aca="false">AD19+IF(AD19&lt;=(Parameter!$C$30*Parameter!$C$57*F19),0,MIN(Parameter!$C$29*AD19,Parameter!$C$31*(AD19-(Parameter!$C$30*Parameter!$C$57*F19))))+Eingaben!$C$16*AD19</f>
        <v>17492.3116655076</v>
      </c>
      <c r="AF19" s="43" t="n">
        <f aca="false">AB19-AE19</f>
        <v>1672.05814903492</v>
      </c>
      <c r="AG19" s="43" t="n">
        <f aca="false">MAX(0,K19-T19-AF19)</f>
        <v>2550.76155043268</v>
      </c>
      <c r="AH19" s="43" t="n">
        <f aca="false">MIN(AG19,Parameter!$C$49)</f>
        <v>2550.76155043268</v>
      </c>
      <c r="AI19" s="43" t="n">
        <f aca="false">Parameter!$C$44*MIN(AH19,Parameter!$C$45)+Parameter!$C$46*MAX(0,MIN(AH19,Parameter!$C$47)-Parameter!$C$45)</f>
        <v>540</v>
      </c>
      <c r="AJ19" s="43" t="n">
        <f aca="false">MIN(AH19,Parameter!$C$48)*Eingaben!$C$18*IF(11&lt;Eingaben!$C$19,1,0)</f>
        <v>0</v>
      </c>
      <c r="AK19" s="43" t="n">
        <f aca="false">MIN(AI19+AJ19,MAX(0,Parameter!$C$49-AH19))</f>
        <v>540</v>
      </c>
      <c r="AL19" s="43" t="n">
        <f aca="false">MIN(MIN(AH19,Parameter!$C$47)+AK19,Parameter!$C$50)</f>
        <v>2340</v>
      </c>
      <c r="AM19" s="43" t="n">
        <f aca="false">MAX(0,X19-AL19)</f>
        <v>76014.5039706786</v>
      </c>
      <c r="AN19" s="43" t="n">
        <f aca="false">MAX(0,(AM19+IF(Eingaben!$C$14=3,Eingaben!$C$15,0))/Parameter!$C$57/F19)</f>
        <v>61135.6559786269</v>
      </c>
      <c r="AO19" s="43" t="n">
        <f aca="false">Parameter!$C$57*F19*(IF(AN19&lt;=Parameter!$C$18,0,IF(AN19&lt;=Parameter!$C$19,(Parameter!$C$22*(AN19-Parameter!$C$18)/10000+Parameter!$C$23)*(AN19-Parameter!$C$18)/10000,IF(AN19&lt;=Parameter!$C$20,(Parameter!$C$24*(AN19-Parameter!$C$19)/10000+Parameter!$C$25)*(AN19-Parameter!$C$19)/10000+Parameter!$C$26,IF(AN19&lt;=Parameter!$C$21,0.42*AN19-Parameter!$C$27,0.45*AN19-Parameter!$C$28)))))</f>
        <v>18244.7750804389</v>
      </c>
      <c r="AP19" s="43" t="n">
        <f aca="false">AO19+IF(AO19&lt;=(Parameter!$C$30*Parameter!$C$57*F19),0,MIN(Parameter!$C$29*AO19,Parameter!$C$31*(AO19-(Parameter!$C$30*Parameter!$C$57*F19))))+Eingaben!$C$16*AO19</f>
        <v>18244.7750804389</v>
      </c>
      <c r="AQ19" s="43" t="n">
        <f aca="false">AB19-AP19</f>
        <v>919.594734103601</v>
      </c>
      <c r="AR19" s="43" t="n">
        <f aca="false">MAX(0,AQ19-AK19)</f>
        <v>379.594734103601</v>
      </c>
      <c r="AS19" s="43" t="n">
        <f aca="false">MIN(AH19,Parameter!$C$47)+AK19</f>
        <v>2340</v>
      </c>
      <c r="AT19" s="43" t="n">
        <f aca="false">MAX(0,AH19-Parameter!$C$47)+AR18</f>
        <v>1127.65908551251</v>
      </c>
      <c r="AU19" s="43" t="n">
        <f aca="false">MAX(0,AG19-Parameter!$C$49)</f>
        <v>0</v>
      </c>
      <c r="AV19" s="43" t="n">
        <f aca="false">AG19</f>
        <v>2550.76155043268</v>
      </c>
      <c r="AW19" s="43" t="n">
        <f aca="false">IF(D19=0,AW18,AW18*(1+Parameter!$C$60)+P19*(1+Parameter!$C$60)^0.5)</f>
        <v>80070.4564213906</v>
      </c>
      <c r="AX19" s="43" t="n">
        <f aca="false">IF(D19=0,AX18,AX18*(1+Parameter!$C$60)+Q19*(1+Parameter!$C$60)^0.5)</f>
        <v>0</v>
      </c>
      <c r="AY19" s="43" t="n">
        <f aca="false">IF(D19=0,AY18,AY18*(1+Parameter!$C$61)+AS19*(1+Parameter!$C$61)^0.5)</f>
        <v>41947.7109182839</v>
      </c>
      <c r="AZ19" s="43" t="n">
        <f aca="false">IF(D19=0,AZ18,AZ18*(1+Parameter!$C$61)+AT19*(1+Parameter!$C$61)^0.5)</f>
        <v>13216.132313321</v>
      </c>
      <c r="BA19" s="43" t="n">
        <f aca="false">IF(D19=0,BA18,BA18*(1+Parameter!$C$62)+AU19*(1+Parameter!$C$62)^0.5-BD19)</f>
        <v>0</v>
      </c>
      <c r="BB19" s="43" t="n">
        <f aca="false">IF(D19=0,BB18,BB18+AU19+BC19)</f>
        <v>0</v>
      </c>
      <c r="BC19" s="43" t="n">
        <f aca="false">MAX(0,MIN(BA18*(1+Parameter!$C$62)+AU19*(1+Parameter!$C$62)^0.5-BA18-AU19,BA18*Parameter!$C$39*Parameter!$C$40))</f>
        <v>0</v>
      </c>
      <c r="BD19" s="43" t="n">
        <f aca="false">MAX(0,BC19*(1-Parameter!$C$37)-Parameter!$C$67)*Parameter!$C$36</f>
        <v>0</v>
      </c>
      <c r="BE19" s="43" t="n">
        <f aca="false">IF(D19=0,BE18,BE18*(1+Parameter!$C$62)+AV19*(1+Parameter!$C$62)^0.5-BH19)</f>
        <v>40474.4474573077</v>
      </c>
      <c r="BF19" s="43" t="n">
        <f aca="false">IF(D19=0,BF18,BF18+AV19+BG19)</f>
        <v>31183.1660200166</v>
      </c>
      <c r="BG19" s="43" t="n">
        <f aca="false">MAX(0,MIN(BE18*(1+Parameter!$C$62)+AV19*(1+Parameter!$C$62)^0.5-BE18-AV19,BE18*Parameter!$C$39*Parameter!$C$40))</f>
        <v>793.61409385725</v>
      </c>
      <c r="BH19" s="43" t="n">
        <f aca="false">MAX(0,BG19*(1-Parameter!$C$37)-Parameter!$C$67)*Parameter!$C$36</f>
        <v>0</v>
      </c>
      <c r="BI19" s="41" t="n">
        <f aca="false">R19/(Parameter!$C$8*E19)</f>
        <v>0.0693054058216541</v>
      </c>
      <c r="BJ19" s="41" t="n">
        <f aca="false">BJ18+BI19</f>
        <v>0.831664869859849</v>
      </c>
    </row>
    <row r="20" customFormat="false" ht="15" hidden="false" customHeight="false" outlineLevel="0" collapsed="false">
      <c r="A20" s="30" t="n">
        <f aca="false">2026+12</f>
        <v>2038</v>
      </c>
      <c r="B20" s="30" t="n">
        <f aca="false">Eingaben!$C$5+12</f>
        <v>52</v>
      </c>
      <c r="C20" s="30" t="n">
        <f aca="false">IF(AND(B20&lt;Eingaben!$C$8,B20&lt;Eingaben!$C$6),1,0)</f>
        <v>1</v>
      </c>
      <c r="D20" s="30" t="n">
        <f aca="false">IF(B20&lt;Eingaben!$C$6,1,0)</f>
        <v>1</v>
      </c>
      <c r="E20" s="38" t="n">
        <f aca="false">(1+Eingaben!$C$13)^12</f>
        <v>1.3448888242463</v>
      </c>
      <c r="F20" s="38" t="n">
        <f aca="false">(1+Eingaben!$C$17)^12</f>
        <v>1.26824179456255</v>
      </c>
      <c r="G20" s="39" t="n">
        <f aca="false">IF(B20&gt;=Eingaben!$C$9,Eingaben!$C$10,1)</f>
        <v>1</v>
      </c>
      <c r="H20" s="40" t="n">
        <f aca="false">Eingaben!$C$12*E20*G20*C20</f>
        <v>100866.661818472</v>
      </c>
      <c r="I20" s="40" t="n">
        <f aca="false">Parameter!$C$4*E20</f>
        <v>136371.726778575</v>
      </c>
      <c r="J20" s="40" t="n">
        <f aca="false">Parameter!$C$5*E20</f>
        <v>93805.9954911792</v>
      </c>
      <c r="K20" s="40" t="n">
        <f aca="false">MIN(H20,12*(IF(Eingaben!$C$22=2,Umrechnung!$C$54,Eingaben!$C$23))*IF(Eingaben!$C$25=1,E20,1))*C20</f>
        <v>4841.59976728667</v>
      </c>
      <c r="L20" s="40" t="n">
        <f aca="false">MIN(K20,MAX(0,Parameter!$C$42*I20-N20))</f>
        <v>4841.59976728667</v>
      </c>
      <c r="M20" s="40" t="n">
        <f aca="false">MIN(K20,Parameter!$C$43*I20)</f>
        <v>4841.59976728667</v>
      </c>
      <c r="N20" s="40" t="n">
        <f aca="false">IF(Eingaben!$C$27=2,MIN(Eingaben!$C$26*K20,U20),Eingaben!$C$26*IF(Eingaben!$C$27=1,M20,K20))</f>
        <v>513.209575332387</v>
      </c>
      <c r="O20" s="40" t="n">
        <f aca="false">K20+N20</f>
        <v>5354.80934261906</v>
      </c>
      <c r="P20" s="40" t="n">
        <f aca="false">MIN(O20,Parameter!$C$42*I20)</f>
        <v>5354.80934261906</v>
      </c>
      <c r="Q20" s="40" t="n">
        <f aca="false">O20-P20</f>
        <v>0</v>
      </c>
      <c r="R20" s="40" t="n">
        <f aca="false">MIN(H20,I20)-MIN(H20-M20,I20)</f>
        <v>4841.59976728667</v>
      </c>
      <c r="S20" s="40" t="n">
        <f aca="false">MIN(H20,J20)-MIN(H20-M20,J20)</f>
        <v>0</v>
      </c>
      <c r="T20" s="40" t="n">
        <f aca="false">R20*(Parameter!$C$10+Parameter!$C$11)+S20*((Parameter!$C$12+Parameter!$C$13)/2+Parameter!$C$58)</f>
        <v>513.209575332387</v>
      </c>
      <c r="U20" s="40" t="n">
        <f aca="false">R20*(Parameter!$C$10+Parameter!$C$11)+S20*((Parameter!$C$12+Parameter!$C$13)/2+Parameter!$C$15)</f>
        <v>513.209575332387</v>
      </c>
      <c r="V20" s="40" t="n">
        <f aca="false">MIN(H20,I20)*Parameter!$C$10+MIN(H20,J20)*(0.96*(Parameter!$C$12+Parameter!$C$13)/2+Parameter!$C$58)</f>
        <v>18948.8110892182</v>
      </c>
      <c r="W20" s="40" t="n">
        <f aca="false">MIN(H20-M20,I20)*Parameter!$C$10+MIN(H20-M20,J20)*(0.96*(Parameter!$C$12+Parameter!$C$13)/2+Parameter!$C$58)</f>
        <v>18498.5423108605</v>
      </c>
      <c r="X20" s="40" t="n">
        <f aca="false">MAX(0,H20-Parameter!$C$32*F20-Parameter!$C$33-V20)</f>
        <v>80321.9133219422</v>
      </c>
      <c r="Y20" s="40" t="n">
        <f aca="false">MAX(0,H20-L20-Parameter!$C$32*F20-Parameter!$C$33-W20)</f>
        <v>75930.5823330132</v>
      </c>
      <c r="Z20" s="40" t="n">
        <f aca="false">MAX(0,(X20+IF(Eingaben!$C$14=3,Eingaben!$C$15,0))/Parameter!$C$57/F20)</f>
        <v>63333.2805040127</v>
      </c>
      <c r="AA20" s="40" t="n">
        <f aca="false">Parameter!$C$57*F20*(IF(Z20&lt;=Parameter!$C$18,0,IF(Z20&lt;=Parameter!$C$19,(Parameter!$C$22*(Z20-Parameter!$C$18)/10000+Parameter!$C$23)*(Z20-Parameter!$C$18)/10000,IF(Z20&lt;=Parameter!$C$20,(Parameter!$C$24*(Z20-Parameter!$C$19)/10000+Parameter!$C$25)*(Z20-Parameter!$C$19)/10000+Parameter!$C$26,IF(Z20&lt;=Parameter!$C$21,0.42*Z20-Parameter!$C$27,0.45*Z20-Parameter!$C$28)))))</f>
        <v>19706.5012120261</v>
      </c>
      <c r="AB20" s="40" t="n">
        <f aca="false">AA20+IF(AA20&lt;=(Parameter!$C$30*Parameter!$C$57*F20),0,MIN(Parameter!$C$29*AA20,Parameter!$C$31*(AA20-(Parameter!$C$30*Parameter!$C$57*F20))))+Eingaben!$C$16*AA20</f>
        <v>19706.5012120261</v>
      </c>
      <c r="AC20" s="40" t="n">
        <f aca="false">MAX(0,(Y20+IF(Eingaben!$C$14=3,Eingaben!$C$15,0))/Parameter!$C$57/F20)</f>
        <v>59870.745987522</v>
      </c>
      <c r="AD20" s="40" t="n">
        <f aca="false">Parameter!$C$57*F20*(IF(AC20&lt;=Parameter!$C$18,0,IF(AC20&lt;=Parameter!$C$19,(Parameter!$C$22*(AC20-Parameter!$C$18)/10000+Parameter!$C$23)*(AC20-Parameter!$C$18)/10000,IF(AC20&lt;=Parameter!$C$20,(Parameter!$C$24*(AC20-Parameter!$C$19)/10000+Parameter!$C$25)*(AC20-Parameter!$C$19)/10000+Parameter!$C$26,IF(AC20&lt;=Parameter!$C$21,0.42*AC20-Parameter!$C$27,0.45*AC20-Parameter!$C$28)))))</f>
        <v>17987.9712549387</v>
      </c>
      <c r="AE20" s="40" t="n">
        <f aca="false">AD20+IF(AD20&lt;=(Parameter!$C$30*Parameter!$C$57*F20),0,MIN(Parameter!$C$29*AD20,Parameter!$C$31*(AD20-(Parameter!$C$30*Parameter!$C$57*F20))))+Eingaben!$C$16*AD20</f>
        <v>17987.9712549387</v>
      </c>
      <c r="AF20" s="40" t="n">
        <f aca="false">AB20-AE20</f>
        <v>1718.52995708736</v>
      </c>
      <c r="AG20" s="40" t="n">
        <f aca="false">MAX(0,K20-T20-AF20)</f>
        <v>2609.86023486692</v>
      </c>
      <c r="AH20" s="40" t="n">
        <f aca="false">MIN(AG20,Parameter!$C$49)</f>
        <v>2609.86023486692</v>
      </c>
      <c r="AI20" s="40" t="n">
        <f aca="false">Parameter!$C$44*MIN(AH20,Parameter!$C$45)+Parameter!$C$46*MAX(0,MIN(AH20,Parameter!$C$47)-Parameter!$C$45)</f>
        <v>540</v>
      </c>
      <c r="AJ20" s="40" t="n">
        <f aca="false">MIN(AH20,Parameter!$C$48)*Eingaben!$C$18*IF(12&lt;Eingaben!$C$19,1,0)</f>
        <v>0</v>
      </c>
      <c r="AK20" s="40" t="n">
        <f aca="false">MIN(AI20+AJ20,MAX(0,Parameter!$C$49-AH20))</f>
        <v>540</v>
      </c>
      <c r="AL20" s="40" t="n">
        <f aca="false">MIN(MIN(AH20,Parameter!$C$47)+AK20,Parameter!$C$50)</f>
        <v>2340</v>
      </c>
      <c r="AM20" s="40" t="n">
        <f aca="false">MAX(0,X20-AL20)</f>
        <v>77981.9133219422</v>
      </c>
      <c r="AN20" s="40" t="n">
        <f aca="false">MAX(0,(AM20+IF(Eingaben!$C$14=3,Eingaben!$C$15,0))/Parameter!$C$57/F20)</f>
        <v>61488.2064731516</v>
      </c>
      <c r="AO20" s="40" t="n">
        <f aca="false">Parameter!$C$57*F20*(IF(AN20&lt;=Parameter!$C$18,0,IF(AN20&lt;=Parameter!$C$19,(Parameter!$C$22*(AN20-Parameter!$C$18)/10000+Parameter!$C$23)*(AN20-Parameter!$C$18)/10000,IF(AN20&lt;=Parameter!$C$20,(Parameter!$C$24*(AN20-Parameter!$C$19)/10000+Parameter!$C$25)*(AN20-Parameter!$C$19)/10000+Parameter!$C$26,IF(AN20&lt;=Parameter!$C$21,0.42*AN20-Parameter!$C$27,0.45*AN20-Parameter!$C$28)))))</f>
        <v>18784.1999090856</v>
      </c>
      <c r="AP20" s="40" t="n">
        <f aca="false">AO20+IF(AO20&lt;=(Parameter!$C$30*Parameter!$C$57*F20),0,MIN(Parameter!$C$29*AO20,Parameter!$C$31*(AO20-(Parameter!$C$30*Parameter!$C$57*F20))))+Eingaben!$C$16*AO20</f>
        <v>18784.1999090856</v>
      </c>
      <c r="AQ20" s="40" t="n">
        <f aca="false">AB20-AP20</f>
        <v>922.301302940483</v>
      </c>
      <c r="AR20" s="40" t="n">
        <f aca="false">MAX(0,AQ20-AK20)</f>
        <v>382.301302940483</v>
      </c>
      <c r="AS20" s="40" t="n">
        <f aca="false">MIN(AH20,Parameter!$C$47)+AK20</f>
        <v>2340</v>
      </c>
      <c r="AT20" s="40" t="n">
        <f aca="false">MAX(0,AH20-Parameter!$C$47)+AR19</f>
        <v>1189.45496897052</v>
      </c>
      <c r="AU20" s="40" t="n">
        <f aca="false">MAX(0,AG20-Parameter!$C$49)</f>
        <v>0</v>
      </c>
      <c r="AV20" s="40" t="n">
        <f aca="false">AG20</f>
        <v>2609.86023486692</v>
      </c>
      <c r="AW20" s="40" t="n">
        <f aca="false">IF(D20=0,AW19,AW19*(1+Parameter!$C$60)+P20*(1+Parameter!$C$60)^0.5)</f>
        <v>90718.4715854597</v>
      </c>
      <c r="AX20" s="40" t="n">
        <f aca="false">IF(D20=0,AX19,AX19*(1+Parameter!$C$60)+Q20*(1+Parameter!$C$60)^0.5)</f>
        <v>0</v>
      </c>
      <c r="AY20" s="40" t="n">
        <f aca="false">IF(D20=0,AY19,AY19*(1+Parameter!$C$61)+AS20*(1+Parameter!$C$61)^0.5)</f>
        <v>47089.1649185168</v>
      </c>
      <c r="AZ20" s="40" t="n">
        <f aca="false">IF(D20=0,AZ19,AZ19*(1+Parameter!$C$61)+AT20*(1+Parameter!$C$61)^0.5)</f>
        <v>15302.6846107148</v>
      </c>
      <c r="BA20" s="40" t="n">
        <f aca="false">IF(D20=0,BA19,BA19*(1+Parameter!$C$62)+AU20*(1+Parameter!$C$62)^0.5-BD20)</f>
        <v>0</v>
      </c>
      <c r="BB20" s="40" t="n">
        <f aca="false">IF(D20=0,BB19,BB19+AU20+BC20)</f>
        <v>0</v>
      </c>
      <c r="BC20" s="40" t="n">
        <f aca="false">MAX(0,MIN(BA19*(1+Parameter!$C$62)+AU20*(1+Parameter!$C$62)^0.5-BA19-AU20,BA19*Parameter!$C$39*Parameter!$C$40))</f>
        <v>0</v>
      </c>
      <c r="BD20" s="40" t="n">
        <f aca="false">MAX(0,BC20*(1-Parameter!$C$37)-Parameter!$C$67)*Parameter!$C$36</f>
        <v>0</v>
      </c>
      <c r="BE20" s="40" t="n">
        <f aca="false">IF(D20=0,BE19,BE19*(1+Parameter!$C$62)+AV20*(1+Parameter!$C$62)^0.5-BH20)</f>
        <v>45923.8460759671</v>
      </c>
      <c r="BF20" s="40" t="n">
        <f aca="false">IF(D20=0,BF19,BF19+AV20+BG20)</f>
        <v>34699.6538779272</v>
      </c>
      <c r="BG20" s="40" t="n">
        <f aca="false">MAX(0,MIN(BE19*(1+Parameter!$C$62)+AV20*(1+Parameter!$C$62)^0.5-BE19-AV20,BE19*Parameter!$C$39*Parameter!$C$40))</f>
        <v>906.627623043692</v>
      </c>
      <c r="BH20" s="40" t="n">
        <f aca="false">MAX(0,BG20*(1-Parameter!$C$37)-Parameter!$C$67)*Parameter!$C$36</f>
        <v>0</v>
      </c>
      <c r="BI20" s="38" t="n">
        <f aca="false">R20/(Parameter!$C$8*E20)</f>
        <v>0.069305405821654</v>
      </c>
      <c r="BJ20" s="38" t="n">
        <f aca="false">BJ19+BI20</f>
        <v>0.900970275681503</v>
      </c>
    </row>
    <row r="21" customFormat="false" ht="15" hidden="false" customHeight="false" outlineLevel="0" collapsed="false">
      <c r="A21" s="32" t="n">
        <f aca="false">2026+13</f>
        <v>2039</v>
      </c>
      <c r="B21" s="32" t="n">
        <f aca="false">Eingaben!$C$5+13</f>
        <v>53</v>
      </c>
      <c r="C21" s="32" t="n">
        <f aca="false">IF(AND(B21&lt;Eingaben!$C$8,B21&lt;Eingaben!$C$6),1,0)</f>
        <v>1</v>
      </c>
      <c r="D21" s="32" t="n">
        <f aca="false">IF(B21&lt;Eingaben!$C$6,1,0)</f>
        <v>1</v>
      </c>
      <c r="E21" s="41" t="n">
        <f aca="false">(1+Eingaben!$C$13)^13</f>
        <v>1.37851104485245</v>
      </c>
      <c r="F21" s="41" t="n">
        <f aca="false">(1+Eingaben!$C$17)^13</f>
        <v>1.2936066304538</v>
      </c>
      <c r="G21" s="42" t="n">
        <f aca="false">IF(B21&gt;=Eingaben!$C$9,Eingaben!$C$10,1)</f>
        <v>1</v>
      </c>
      <c r="H21" s="43" t="n">
        <f aca="false">Eingaben!$C$12*E21*G21*C21</f>
        <v>103388.328363934</v>
      </c>
      <c r="I21" s="43" t="n">
        <f aca="false">Parameter!$C$4*E21</f>
        <v>139781.019948039</v>
      </c>
      <c r="J21" s="43" t="n">
        <f aca="false">Parameter!$C$5*E21</f>
        <v>96151.1453784587</v>
      </c>
      <c r="K21" s="43" t="n">
        <f aca="false">MIN(H21,12*(IF(Eingaben!$C$22=2,Umrechnung!$C$54,Eingaben!$C$23))*IF(Eingaben!$C$25=1,E21,1))*C21</f>
        <v>4962.63976146884</v>
      </c>
      <c r="L21" s="43" t="n">
        <f aca="false">MIN(K21,MAX(0,Parameter!$C$42*I21-N21))</f>
        <v>4962.63976146884</v>
      </c>
      <c r="M21" s="43" t="n">
        <f aca="false">MIN(K21,Parameter!$C$43*I21)</f>
        <v>4962.63976146884</v>
      </c>
      <c r="N21" s="43" t="n">
        <f aca="false">IF(Eingaben!$C$27=2,MIN(Eingaben!$C$26*K21,U21),Eingaben!$C$26*IF(Eingaben!$C$27=1,M21,K21))</f>
        <v>526.039814715696</v>
      </c>
      <c r="O21" s="43" t="n">
        <f aca="false">K21+N21</f>
        <v>5488.67957618453</v>
      </c>
      <c r="P21" s="43" t="n">
        <f aca="false">MIN(O21,Parameter!$C$42*I21)</f>
        <v>5488.67957618453</v>
      </c>
      <c r="Q21" s="43" t="n">
        <f aca="false">O21-P21</f>
        <v>0</v>
      </c>
      <c r="R21" s="43" t="n">
        <f aca="false">MIN(H21,I21)-MIN(H21-M21,I21)</f>
        <v>4962.63976146883</v>
      </c>
      <c r="S21" s="43" t="n">
        <f aca="false">MIN(H21,J21)-MIN(H21-M21,J21)</f>
        <v>0</v>
      </c>
      <c r="T21" s="43" t="n">
        <f aca="false">R21*(Parameter!$C$10+Parameter!$C$11)+S21*((Parameter!$C$12+Parameter!$C$13)/2+Parameter!$C$58)</f>
        <v>526.039814715696</v>
      </c>
      <c r="U21" s="43" t="n">
        <f aca="false">R21*(Parameter!$C$10+Parameter!$C$11)+S21*((Parameter!$C$12+Parameter!$C$13)/2+Parameter!$C$15)</f>
        <v>526.039814715696</v>
      </c>
      <c r="V21" s="43" t="n">
        <f aca="false">MIN(H21,I21)*Parameter!$C$10+MIN(H21,J21)*(0.96*(Parameter!$C$12+Parameter!$C$13)/2+Parameter!$C$58)</f>
        <v>19422.5313664487</v>
      </c>
      <c r="W21" s="43" t="n">
        <f aca="false">MIN(H21-M21,I21)*Parameter!$C$10+MIN(H21-M21,J21)*(0.96*(Parameter!$C$12+Parameter!$C$13)/2+Parameter!$C$58)</f>
        <v>18961.0058686321</v>
      </c>
      <c r="X21" s="43" t="n">
        <f aca="false">MAX(0,H21-Parameter!$C$32*F21-Parameter!$C$33-V21)</f>
        <v>82338.6608420273</v>
      </c>
      <c r="Y21" s="43" t="n">
        <f aca="false">MAX(0,H21-L21-Parameter!$C$32*F21-Parameter!$C$33-W21)</f>
        <v>77837.546578375</v>
      </c>
      <c r="Z21" s="43" t="n">
        <f aca="false">MAX(0,(X21+IF(Eingaben!$C$14=3,Eingaben!$C$15,0))/Parameter!$C$57/F21)</f>
        <v>63650.4629024226</v>
      </c>
      <c r="AA21" s="43" t="n">
        <f aca="false">Parameter!$C$57*F21*(IF(Z21&lt;=Parameter!$C$18,0,IF(Z21&lt;=Parameter!$C$19,(Parameter!$C$22*(Z21-Parameter!$C$18)/10000+Parameter!$C$23)*(Z21-Parameter!$C$18)/10000,IF(Z21&lt;=Parameter!$C$20,(Parameter!$C$24*(Z21-Parameter!$C$19)/10000+Parameter!$C$25)*(Z21-Parameter!$C$19)/10000+Parameter!$C$26,IF(Z21&lt;=Parameter!$C$21,0.42*Z21-Parameter!$C$27,0.45*Z21-Parameter!$C$28)))))</f>
        <v>20263.8886607576</v>
      </c>
      <c r="AB21" s="43" t="n">
        <f aca="false">AA21+IF(AA21&lt;=(Parameter!$C$30*Parameter!$C$57*F21),0,MIN(Parameter!$C$29*AA21,Parameter!$C$31*(AA21-(Parameter!$C$30*Parameter!$C$57*F21))))+Eingaben!$C$16*AA21</f>
        <v>20263.8886607576</v>
      </c>
      <c r="AC21" s="43" t="n">
        <f aca="false">MAX(0,(Y21+IF(Eingaben!$C$14=3,Eingaben!$C$15,0))/Parameter!$C$57/F21)</f>
        <v>60170.9551775176</v>
      </c>
      <c r="AD21" s="43" t="n">
        <f aca="false">Parameter!$C$57*F21*(IF(AC21&lt;=Parameter!$C$18,0,IF(AC21&lt;=Parameter!$C$19,(Parameter!$C$22*(AC21-Parameter!$C$18)/10000+Parameter!$C$23)*(AC21-Parameter!$C$18)/10000,IF(AC21&lt;=Parameter!$C$20,(Parameter!$C$24*(AC21-Parameter!$C$19)/10000+Parameter!$C$25)*(AC21-Parameter!$C$19)/10000+Parameter!$C$26,IF(AC21&lt;=Parameter!$C$21,0.42*AC21-Parameter!$C$27,0.45*AC21-Parameter!$C$28)))))</f>
        <v>18497.5850921462</v>
      </c>
      <c r="AE21" s="43" t="n">
        <f aca="false">AD21+IF(AD21&lt;=(Parameter!$C$30*Parameter!$C$57*F21),0,MIN(Parameter!$C$29*AD21,Parameter!$C$31*(AD21-(Parameter!$C$30*Parameter!$C$57*F21))))+Eingaben!$C$16*AD21</f>
        <v>18497.5850921462</v>
      </c>
      <c r="AF21" s="43" t="n">
        <f aca="false">AB21-AE21</f>
        <v>1766.3035686114</v>
      </c>
      <c r="AG21" s="43" t="n">
        <f aca="false">MAX(0,K21-T21-AF21)</f>
        <v>2670.29637814174</v>
      </c>
      <c r="AH21" s="43" t="n">
        <f aca="false">MIN(AG21,Parameter!$C$49)</f>
        <v>2670.29637814174</v>
      </c>
      <c r="AI21" s="43" t="n">
        <f aca="false">Parameter!$C$44*MIN(AH21,Parameter!$C$45)+Parameter!$C$46*MAX(0,MIN(AH21,Parameter!$C$47)-Parameter!$C$45)</f>
        <v>540</v>
      </c>
      <c r="AJ21" s="43" t="n">
        <f aca="false">MIN(AH21,Parameter!$C$48)*Eingaben!$C$18*IF(13&lt;Eingaben!$C$19,1,0)</f>
        <v>0</v>
      </c>
      <c r="AK21" s="43" t="n">
        <f aca="false">MIN(AI21+AJ21,MAX(0,Parameter!$C$49-AH21))</f>
        <v>540</v>
      </c>
      <c r="AL21" s="43" t="n">
        <f aca="false">MIN(MIN(AH21,Parameter!$C$47)+AK21,Parameter!$C$50)</f>
        <v>2340</v>
      </c>
      <c r="AM21" s="43" t="n">
        <f aca="false">MAX(0,X21-AL21)</f>
        <v>79998.6608420273</v>
      </c>
      <c r="AN21" s="43" t="n">
        <f aca="false">MAX(0,(AM21+IF(Eingaben!$C$14=3,Eingaben!$C$15,0))/Parameter!$C$57/F21)</f>
        <v>61841.5667937353</v>
      </c>
      <c r="AO21" s="43" t="n">
        <f aca="false">Parameter!$C$57*F21*(IF(AN21&lt;=Parameter!$C$18,0,IF(AN21&lt;=Parameter!$C$19,(Parameter!$C$22*(AN21-Parameter!$C$18)/10000+Parameter!$C$23)*(AN21-Parameter!$C$18)/10000,IF(AN21&lt;=Parameter!$C$20,(Parameter!$C$24*(AN21-Parameter!$C$19)/10000+Parameter!$C$25)*(AN21-Parameter!$C$19)/10000+Parameter!$C$26,IF(AN21&lt;=Parameter!$C$21,0.42*AN21-Parameter!$C$27,0.45*AN21-Parameter!$C$28)))))</f>
        <v>19338.8712977121</v>
      </c>
      <c r="AP21" s="43" t="n">
        <f aca="false">AO21+IF(AO21&lt;=(Parameter!$C$30*Parameter!$C$57*F21),0,MIN(Parameter!$C$29*AO21,Parameter!$C$31*(AO21-(Parameter!$C$30*Parameter!$C$57*F21))))+Eingaben!$C$16*AO21</f>
        <v>19338.8712977121</v>
      </c>
      <c r="AQ21" s="43" t="n">
        <f aca="false">AB21-AP21</f>
        <v>925.017363045474</v>
      </c>
      <c r="AR21" s="43" t="n">
        <f aca="false">MAX(0,AQ21-AK21)</f>
        <v>385.017363045474</v>
      </c>
      <c r="AS21" s="43" t="n">
        <f aca="false">MIN(AH21,Parameter!$C$47)+AK21</f>
        <v>2340</v>
      </c>
      <c r="AT21" s="43" t="n">
        <f aca="false">MAX(0,AH21-Parameter!$C$47)+AR20</f>
        <v>1252.59768108222</v>
      </c>
      <c r="AU21" s="43" t="n">
        <f aca="false">MAX(0,AG21-Parameter!$C$49)</f>
        <v>0</v>
      </c>
      <c r="AV21" s="43" t="n">
        <f aca="false">AG21</f>
        <v>2670.29637814174</v>
      </c>
      <c r="AW21" s="43" t="n">
        <f aca="false">IF(D21=0,AW20,AW20*(1+Parameter!$C$60)+P21*(1+Parameter!$C$60)^0.5)</f>
        <v>102186.047368857</v>
      </c>
      <c r="AX21" s="43" t="n">
        <f aca="false">IF(D21=0,AX20,AX20*(1+Parameter!$C$60)+Q21*(1+Parameter!$C$60)^0.5)</f>
        <v>0</v>
      </c>
      <c r="AY21" s="43" t="n">
        <f aca="false">IF(D21=0,AY20,AY20*(1+Parameter!$C$61)+AS21*(1+Parameter!$C$61)^0.5)</f>
        <v>52564.8134287647</v>
      </c>
      <c r="AZ21" s="43" t="n">
        <f aca="false">IF(D21=0,AZ20,AZ20*(1+Parameter!$C$61)+AT21*(1+Parameter!$C$61)^0.5)</f>
        <v>17590.0253521167</v>
      </c>
      <c r="BA21" s="43" t="n">
        <f aca="false">IF(D21=0,BA20,BA20*(1+Parameter!$C$62)+AU21*(1+Parameter!$C$62)^0.5-BD21)</f>
        <v>0</v>
      </c>
      <c r="BB21" s="43" t="n">
        <f aca="false">IF(D21=0,BB20,BB20+AU21+BC21)</f>
        <v>0</v>
      </c>
      <c r="BC21" s="43" t="n">
        <f aca="false">MAX(0,MIN(BA20*(1+Parameter!$C$62)+AU21*(1+Parameter!$C$62)^0.5-BA20-AU21,BA20*Parameter!$C$39*Parameter!$C$40))</f>
        <v>0</v>
      </c>
      <c r="BD21" s="43" t="n">
        <f aca="false">MAX(0,BC21*(1-Parameter!$C$37)-Parameter!$C$67)*Parameter!$C$36</f>
        <v>0</v>
      </c>
      <c r="BE21" s="43" t="n">
        <f aca="false">IF(D21=0,BE20,BE20*(1+Parameter!$C$62)+AV21*(1+Parameter!$C$62)^0.5-BH21)</f>
        <v>51806.2609802513</v>
      </c>
      <c r="BF21" s="43" t="n">
        <f aca="false">IF(D21=0,BF20,BF20+AV21+BG21)</f>
        <v>38398.6444081706</v>
      </c>
      <c r="BG21" s="43" t="n">
        <f aca="false">MAX(0,MIN(BE20*(1+Parameter!$C$62)+AV21*(1+Parameter!$C$62)^0.5-BE20-AV21,BE20*Parameter!$C$39*Parameter!$C$40))</f>
        <v>1028.69415210166</v>
      </c>
      <c r="BH21" s="43" t="n">
        <f aca="false">MAX(0,BG21*(1-Parameter!$C$37)-Parameter!$C$67)*Parameter!$C$36</f>
        <v>0</v>
      </c>
      <c r="BI21" s="41" t="n">
        <f aca="false">R21/(Parameter!$C$8*E21)</f>
        <v>0.0693054058216541</v>
      </c>
      <c r="BJ21" s="41" t="n">
        <f aca="false">BJ20+BI21</f>
        <v>0.970275681503157</v>
      </c>
    </row>
    <row r="22" customFormat="false" ht="15" hidden="false" customHeight="false" outlineLevel="0" collapsed="false">
      <c r="A22" s="30" t="n">
        <f aca="false">2026+14</f>
        <v>2040</v>
      </c>
      <c r="B22" s="30" t="n">
        <f aca="false">Eingaben!$C$5+14</f>
        <v>54</v>
      </c>
      <c r="C22" s="30" t="n">
        <f aca="false">IF(AND(B22&lt;Eingaben!$C$8,B22&lt;Eingaben!$C$6),1,0)</f>
        <v>1</v>
      </c>
      <c r="D22" s="30" t="n">
        <f aca="false">IF(B22&lt;Eingaben!$C$6,1,0)</f>
        <v>1</v>
      </c>
      <c r="E22" s="38" t="n">
        <f aca="false">(1+Eingaben!$C$13)^14</f>
        <v>1.41297382097377</v>
      </c>
      <c r="F22" s="38" t="n">
        <f aca="false">(1+Eingaben!$C$17)^14</f>
        <v>1.31947876306287</v>
      </c>
      <c r="G22" s="39" t="n">
        <f aca="false">IF(B22&gt;=Eingaben!$C$9,Eingaben!$C$10,1)</f>
        <v>1</v>
      </c>
      <c r="H22" s="40" t="n">
        <f aca="false">Eingaben!$C$12*E22*G22*C22</f>
        <v>105973.036573032</v>
      </c>
      <c r="I22" s="40" t="n">
        <f aca="false">Parameter!$C$4*E22</f>
        <v>143275.54544674</v>
      </c>
      <c r="J22" s="40" t="n">
        <f aca="false">Parameter!$C$5*E22</f>
        <v>98554.9240129202</v>
      </c>
      <c r="K22" s="40" t="n">
        <f aca="false">MIN(H22,12*(IF(Eingaben!$C$22=2,Umrechnung!$C$54,Eingaben!$C$23))*IF(Eingaben!$C$25=1,E22,1))*C22</f>
        <v>5086.70575550556</v>
      </c>
      <c r="L22" s="40" t="n">
        <f aca="false">MIN(K22,MAX(0,Parameter!$C$42*I22-N22))</f>
        <v>5086.70575550556</v>
      </c>
      <c r="M22" s="40" t="n">
        <f aca="false">MIN(K22,Parameter!$C$43*I22)</f>
        <v>5086.70575550556</v>
      </c>
      <c r="N22" s="40" t="n">
        <f aca="false">IF(Eingaben!$C$27=2,MIN(Eingaben!$C$26*K22,U22),Eingaben!$C$26*IF(Eingaben!$C$27=1,M22,K22))</f>
        <v>539.190810083588</v>
      </c>
      <c r="O22" s="40" t="n">
        <f aca="false">K22+N22</f>
        <v>5625.89656558914</v>
      </c>
      <c r="P22" s="40" t="n">
        <f aca="false">MIN(O22,Parameter!$C$42*I22)</f>
        <v>5625.89656558914</v>
      </c>
      <c r="Q22" s="40" t="n">
        <f aca="false">O22-P22</f>
        <v>0</v>
      </c>
      <c r="R22" s="40" t="n">
        <f aca="false">MIN(H22,I22)-MIN(H22-M22,I22)</f>
        <v>5086.70575550555</v>
      </c>
      <c r="S22" s="40" t="n">
        <f aca="false">MIN(H22,J22)-MIN(H22-M22,J22)</f>
        <v>0</v>
      </c>
      <c r="T22" s="40" t="n">
        <f aca="false">R22*(Parameter!$C$10+Parameter!$C$11)+S22*((Parameter!$C$12+Parameter!$C$13)/2+Parameter!$C$58)</f>
        <v>539.190810083588</v>
      </c>
      <c r="U22" s="40" t="n">
        <f aca="false">R22*(Parameter!$C$10+Parameter!$C$11)+S22*((Parameter!$C$12+Parameter!$C$13)/2+Parameter!$C$15)</f>
        <v>539.190810083588</v>
      </c>
      <c r="V22" s="40" t="n">
        <f aca="false">MIN(H22,I22)*Parameter!$C$10+MIN(H22,J22)*(0.96*(Parameter!$C$12+Parameter!$C$13)/2+Parameter!$C$58)</f>
        <v>19908.0946506099</v>
      </c>
      <c r="W22" s="40" t="n">
        <f aca="false">MIN(H22-M22,I22)*Parameter!$C$10+MIN(H22-M22,J22)*(0.96*(Parameter!$C$12+Parameter!$C$13)/2+Parameter!$C$58)</f>
        <v>19435.0310153479</v>
      </c>
      <c r="X22" s="40" t="n">
        <f aca="false">MAX(0,H22-Parameter!$C$32*F22-Parameter!$C$33-V22)</f>
        <v>84405.9830438552</v>
      </c>
      <c r="Y22" s="40" t="n">
        <f aca="false">MAX(0,H22-L22-Parameter!$C$32*F22-Parameter!$C$33-W22)</f>
        <v>79792.3409236117</v>
      </c>
      <c r="Z22" s="40" t="n">
        <f aca="false">MAX(0,(X22+IF(Eingaben!$C$14=3,Eingaben!$C$15,0))/Parameter!$C$57/F22)</f>
        <v>63969.1864747605</v>
      </c>
      <c r="AA22" s="40" t="n">
        <f aca="false">Parameter!$C$57*F22*(IF(Z22&lt;=Parameter!$C$18,0,IF(Z22&lt;=Parameter!$C$19,(Parameter!$C$22*(Z22-Parameter!$C$18)/10000+Parameter!$C$23)*(Z22-Parameter!$C$18)/10000,IF(Z22&lt;=Parameter!$C$20,(Parameter!$C$24*(Z22-Parameter!$C$19)/10000+Parameter!$C$25)*(Z22-Parameter!$C$19)/10000+Parameter!$C$26,IF(Z22&lt;=Parameter!$C$21,0.42*Z22-Parameter!$C$27,0.45*Z22-Parameter!$C$28)))))</f>
        <v>20836.9610527349</v>
      </c>
      <c r="AB22" s="40" t="n">
        <f aca="false">AA22+IF(AA22&lt;=(Parameter!$C$30*Parameter!$C$57*F22),0,MIN(Parameter!$C$29*AA22,Parameter!$C$31*(AA22-(Parameter!$C$30*Parameter!$C$57*F22))))+Eingaben!$C$16*AA22</f>
        <v>20836.9610527349</v>
      </c>
      <c r="AC22" s="40" t="n">
        <f aca="false">MAX(0,(Y22+IF(Eingaben!$C$14=3,Eingaben!$C$15,0))/Parameter!$C$57/F22)</f>
        <v>60472.6223394394</v>
      </c>
      <c r="AD22" s="40" t="n">
        <f aca="false">Parameter!$C$57*F22*(IF(AC22&lt;=Parameter!$C$18,0,IF(AC22&lt;=Parameter!$C$19,(Parameter!$C$22*(AC22-Parameter!$C$18)/10000+Parameter!$C$23)*(AC22-Parameter!$C$18)/10000,IF(AC22&lt;=Parameter!$C$20,(Parameter!$C$24*(AC22-Parameter!$C$19)/10000+Parameter!$C$25)*(AC22-Parameter!$C$19)/10000+Parameter!$C$26,IF(AC22&lt;=Parameter!$C$21,0.42*AC22-Parameter!$C$27,0.45*AC22-Parameter!$C$28)))))</f>
        <v>19021.5453214243</v>
      </c>
      <c r="AE22" s="40" t="n">
        <f aca="false">AD22+IF(AD22&lt;=(Parameter!$C$30*Parameter!$C$57*F22),0,MIN(Parameter!$C$29*AD22,Parameter!$C$31*(AD22-(Parameter!$C$30*Parameter!$C$57*F22))))+Eingaben!$C$16*AD22</f>
        <v>19021.5453214243</v>
      </c>
      <c r="AF22" s="40" t="n">
        <f aca="false">AB22-AE22</f>
        <v>1815.41573131058</v>
      </c>
      <c r="AG22" s="40" t="n">
        <f aca="false">MAX(0,K22-T22-AF22)</f>
        <v>2732.09921411139</v>
      </c>
      <c r="AH22" s="40" t="n">
        <f aca="false">MIN(AG22,Parameter!$C$49)</f>
        <v>2732.09921411139</v>
      </c>
      <c r="AI22" s="40" t="n">
        <f aca="false">Parameter!$C$44*MIN(AH22,Parameter!$C$45)+Parameter!$C$46*MAX(0,MIN(AH22,Parameter!$C$47)-Parameter!$C$45)</f>
        <v>540</v>
      </c>
      <c r="AJ22" s="40" t="n">
        <f aca="false">MIN(AH22,Parameter!$C$48)*Eingaben!$C$18*IF(14&lt;Eingaben!$C$19,1,0)</f>
        <v>0</v>
      </c>
      <c r="AK22" s="40" t="n">
        <f aca="false">MIN(AI22+AJ22,MAX(0,Parameter!$C$49-AH22))</f>
        <v>540</v>
      </c>
      <c r="AL22" s="40" t="n">
        <f aca="false">MIN(MIN(AH22,Parameter!$C$47)+AK22,Parameter!$C$50)</f>
        <v>2340</v>
      </c>
      <c r="AM22" s="40" t="n">
        <f aca="false">MAX(0,X22-AL22)</f>
        <v>82065.9830438552</v>
      </c>
      <c r="AN22" s="40" t="n">
        <f aca="false">MAX(0,(AM22+IF(Eingaben!$C$14=3,Eingaben!$C$15,0))/Parameter!$C$57/F22)</f>
        <v>62195.7589172239</v>
      </c>
      <c r="AO22" s="40" t="n">
        <f aca="false">Parameter!$C$57*F22*(IF(AN22&lt;=Parameter!$C$18,0,IF(AN22&lt;=Parameter!$C$19,(Parameter!$C$22*(AN22-Parameter!$C$18)/10000+Parameter!$C$23)*(AN22-Parameter!$C$18)/10000,IF(AN22&lt;=Parameter!$C$20,(Parameter!$C$24*(AN22-Parameter!$C$19)/10000+Parameter!$C$25)*(AN22-Parameter!$C$19)/10000+Parameter!$C$26,IF(AN22&lt;=Parameter!$C$21,0.42*AN22-Parameter!$C$27,0.45*AN22-Parameter!$C$28)))))</f>
        <v>19909.2180177469</v>
      </c>
      <c r="AP22" s="40" t="n">
        <f aca="false">AO22+IF(AO22&lt;=(Parameter!$C$30*Parameter!$C$57*F22),0,MIN(Parameter!$C$29*AO22,Parameter!$C$31*(AO22-(Parameter!$C$30*Parameter!$C$57*F22))))+Eingaben!$C$16*AO22</f>
        <v>19909.2180177469</v>
      </c>
      <c r="AQ22" s="40" t="n">
        <f aca="false">AB22-AP22</f>
        <v>927.743034988049</v>
      </c>
      <c r="AR22" s="40" t="n">
        <f aca="false">MAX(0,AQ22-AK22)</f>
        <v>387.743034988049</v>
      </c>
      <c r="AS22" s="40" t="n">
        <f aca="false">MIN(AH22,Parameter!$C$47)+AK22</f>
        <v>2340</v>
      </c>
      <c r="AT22" s="40" t="n">
        <f aca="false">MAX(0,AH22-Parameter!$C$47)+AR21</f>
        <v>1317.11657715686</v>
      </c>
      <c r="AU22" s="40" t="n">
        <f aca="false">MAX(0,AG22-Parameter!$C$49)</f>
        <v>0</v>
      </c>
      <c r="AV22" s="40" t="n">
        <f aca="false">AG22</f>
        <v>2732.09921411139</v>
      </c>
      <c r="AW22" s="40" t="n">
        <f aca="false">IF(D22=0,AW21,AW21*(1+Parameter!$C$60)+P22*(1+Parameter!$C$60)^0.5)</f>
        <v>114529.087842439</v>
      </c>
      <c r="AX22" s="40" t="n">
        <f aca="false">IF(D22=0,AX21,AX21*(1+Parameter!$C$60)+Q22*(1+Parameter!$C$60)^0.5)</f>
        <v>0</v>
      </c>
      <c r="AY22" s="40" t="n">
        <f aca="false">IF(D22=0,AY21,AY21*(1+Parameter!$C$61)+AS22*(1+Parameter!$C$61)^0.5)</f>
        <v>58396.3790921788</v>
      </c>
      <c r="AZ22" s="40" t="n">
        <f aca="false">IF(D22=0,AZ21,AZ21*(1+Parameter!$C$61)+AT22*(1+Parameter!$C$61)^0.5)</f>
        <v>20092.6259922349</v>
      </c>
      <c r="BA22" s="40" t="n">
        <f aca="false">IF(D22=0,BA21,BA21*(1+Parameter!$C$62)+AU22*(1+Parameter!$C$62)^0.5-BD22)</f>
        <v>0</v>
      </c>
      <c r="BB22" s="40" t="n">
        <f aca="false">IF(D22=0,BB21,BB21+AU22+BC22)</f>
        <v>0</v>
      </c>
      <c r="BC22" s="40" t="n">
        <f aca="false">MAX(0,MIN(BA21*(1+Parameter!$C$62)+AU22*(1+Parameter!$C$62)^0.5-BA21-AU22,BA21*Parameter!$C$39*Parameter!$C$40))</f>
        <v>0</v>
      </c>
      <c r="BD22" s="40" t="n">
        <f aca="false">MAX(0,BC22*(1-Parameter!$C$37)-Parameter!$C$67)*Parameter!$C$36</f>
        <v>0</v>
      </c>
      <c r="BE22" s="40" t="n">
        <f aca="false">IF(D22=0,BE21,BE21*(1+Parameter!$C$62)+AV22*(1+Parameter!$C$62)^0.5-BH22)</f>
        <v>58152.5496736493</v>
      </c>
      <c r="BF22" s="40" t="n">
        <f aca="false">IF(D22=0,BF21,BF21+AV22+BG22)</f>
        <v>42291.2038682397</v>
      </c>
      <c r="BG22" s="40" t="n">
        <f aca="false">MAX(0,MIN(BE21*(1+Parameter!$C$62)+AV22*(1+Parameter!$C$62)^0.5-BE21-AV22,BE21*Parameter!$C$39*Parameter!$C$40))</f>
        <v>1160.46024595763</v>
      </c>
      <c r="BH22" s="40" t="n">
        <f aca="false">MAX(0,BG22*(1-Parameter!$C$37)-Parameter!$C$67)*Parameter!$C$36</f>
        <v>0</v>
      </c>
      <c r="BI22" s="38" t="n">
        <f aca="false">R22/(Parameter!$C$8*E22)</f>
        <v>0.069305405821654</v>
      </c>
      <c r="BJ22" s="38" t="n">
        <f aca="false">BJ21+BI22</f>
        <v>1.03958108732481</v>
      </c>
    </row>
    <row r="23" customFormat="false" ht="15" hidden="false" customHeight="false" outlineLevel="0" collapsed="false">
      <c r="A23" s="32" t="n">
        <f aca="false">2026+15</f>
        <v>2041</v>
      </c>
      <c r="B23" s="32" t="n">
        <f aca="false">Eingaben!$C$5+15</f>
        <v>55</v>
      </c>
      <c r="C23" s="32" t="n">
        <f aca="false">IF(AND(B23&lt;Eingaben!$C$8,B23&lt;Eingaben!$C$6),1,0)</f>
        <v>1</v>
      </c>
      <c r="D23" s="32" t="n">
        <f aca="false">IF(B23&lt;Eingaben!$C$6,1,0)</f>
        <v>1</v>
      </c>
      <c r="E23" s="41" t="n">
        <f aca="false">(1+Eingaben!$C$13)^15</f>
        <v>1.44829816649811</v>
      </c>
      <c r="F23" s="41" t="n">
        <f aca="false">(1+Eingaben!$C$17)^15</f>
        <v>1.34586833832413</v>
      </c>
      <c r="G23" s="42" t="n">
        <f aca="false">IF(B23&gt;=Eingaben!$C$9,Eingaben!$C$10,1)</f>
        <v>0.6</v>
      </c>
      <c r="H23" s="43" t="n">
        <f aca="false">Eingaben!$C$12*E23*G23*C23</f>
        <v>65173.4174924149</v>
      </c>
      <c r="I23" s="43" t="n">
        <f aca="false">Parameter!$C$4*E23</f>
        <v>146857.434082908</v>
      </c>
      <c r="J23" s="43" t="n">
        <f aca="false">Parameter!$C$5*E23</f>
        <v>101018.797113243</v>
      </c>
      <c r="K23" s="43" t="n">
        <f aca="false">MIN(H23,12*(IF(Eingaben!$C$22=2,Umrechnung!$C$54,Eingaben!$C$23))*IF(Eingaben!$C$25=1,E23,1))*C23</f>
        <v>5213.8733993932</v>
      </c>
      <c r="L23" s="43" t="n">
        <f aca="false">MIN(K23,MAX(0,Parameter!$C$42*I23-N23))</f>
        <v>5213.8733993932</v>
      </c>
      <c r="M23" s="43" t="n">
        <f aca="false">MIN(K23,Parameter!$C$43*I23)</f>
        <v>5213.8733993932</v>
      </c>
      <c r="N23" s="43" t="n">
        <f aca="false">IF(Eingaben!$C$27=2,MIN(Eingaben!$C$26*K23,U23),Eingaben!$C$26*IF(Eingaben!$C$27=1,M23,K23))</f>
        <v>782.081009908979</v>
      </c>
      <c r="O23" s="43" t="n">
        <f aca="false">K23+N23</f>
        <v>5995.95440930217</v>
      </c>
      <c r="P23" s="43" t="n">
        <f aca="false">MIN(O23,Parameter!$C$42*I23)</f>
        <v>5995.95440930217</v>
      </c>
      <c r="Q23" s="43" t="n">
        <f aca="false">O23-P23</f>
        <v>0</v>
      </c>
      <c r="R23" s="43" t="n">
        <f aca="false">MIN(H23,I23)-MIN(H23-M23,I23)</f>
        <v>5213.8733993932</v>
      </c>
      <c r="S23" s="43" t="n">
        <f aca="false">MIN(H23,J23)-MIN(H23-M23,J23)</f>
        <v>5213.8733993932</v>
      </c>
      <c r="T23" s="43" t="n">
        <f aca="false">R23*(Parameter!$C$10+Parameter!$C$11)+S23*((Parameter!$C$12+Parameter!$C$13)/2+Parameter!$C$58)</f>
        <v>1102.73422397166</v>
      </c>
      <c r="U23" s="43" t="n">
        <f aca="false">R23*(Parameter!$C$10+Parameter!$C$11)+S23*((Parameter!$C$12+Parameter!$C$13)/2+Parameter!$C$15)</f>
        <v>1102.73422397166</v>
      </c>
      <c r="V23" s="43" t="n">
        <f aca="false">MIN(H23,I23)*Parameter!$C$10+MIN(H23,J23)*(0.96*(Parameter!$C$12+Parameter!$C$13)/2+Parameter!$C$58)</f>
        <v>12708.8164110209</v>
      </c>
      <c r="W23" s="43" t="n">
        <f aca="false">MIN(H23-M23,I23)*Parameter!$C$10+MIN(H23-M23,J23)*(0.96*(Parameter!$C$12+Parameter!$C$13)/2+Parameter!$C$58)</f>
        <v>11692.1110981392</v>
      </c>
      <c r="X23" s="43" t="n">
        <f aca="false">MAX(0,H23-Parameter!$C$32*F23-Parameter!$C$33-V23)</f>
        <v>50773.1830252553</v>
      </c>
      <c r="Y23" s="43" t="n">
        <f aca="false">MAX(0,H23-L23-Parameter!$C$32*F23-Parameter!$C$33-W23)</f>
        <v>46576.0149387438</v>
      </c>
      <c r="Z23" s="43" t="n">
        <f aca="false">MAX(0,(X23+IF(Eingaben!$C$14=3,Eingaben!$C$15,0))/Parameter!$C$57/F23)</f>
        <v>37725.2228761678</v>
      </c>
      <c r="AA23" s="43" t="n">
        <f aca="false">Parameter!$C$57*F23*(IF(Z23&lt;=Parameter!$C$18,0,IF(Z23&lt;=Parameter!$C$19,(Parameter!$C$22*(Z23-Parameter!$C$18)/10000+Parameter!$C$23)*(Z23-Parameter!$C$18)/10000,IF(Z23&lt;=Parameter!$C$20,(Parameter!$C$24*(Z23-Parameter!$C$19)/10000+Parameter!$C$25)*(Z23-Parameter!$C$19)/10000+Parameter!$C$26,IF(Z23&lt;=Parameter!$C$21,0.42*Z23-Parameter!$C$27,0.45*Z23-Parameter!$C$28)))))</f>
        <v>8746.10751984347</v>
      </c>
      <c r="AB23" s="43" t="n">
        <f aca="false">AA23+IF(AA23&lt;=(Parameter!$C$30*Parameter!$C$57*F23),0,MIN(Parameter!$C$29*AA23,Parameter!$C$31*(AA23-(Parameter!$C$30*Parameter!$C$57*F23))))+Eingaben!$C$16*AA23</f>
        <v>8746.10751984347</v>
      </c>
      <c r="AC23" s="43" t="n">
        <f aca="false">MAX(0,(Y23+IF(Eingaben!$C$14=3,Eingaben!$C$15,0))/Parameter!$C$57/F23)</f>
        <v>34606.665163652</v>
      </c>
      <c r="AD23" s="43" t="n">
        <f aca="false">Parameter!$C$57*F23*(IF(AC23&lt;=Parameter!$C$18,0,IF(AC23&lt;=Parameter!$C$19,(Parameter!$C$22*(AC23-Parameter!$C$18)/10000+Parameter!$C$23)*(AC23-Parameter!$C$18)/10000,IF(AC23&lt;=Parameter!$C$20,(Parameter!$C$24*(AC23-Parameter!$C$19)/10000+Parameter!$C$25)*(AC23-Parameter!$C$19)/10000+Parameter!$C$26,IF(AC23&lt;=Parameter!$C$21,0.42*AC23-Parameter!$C$27,0.45*AC23-Parameter!$C$28)))))</f>
        <v>7473.16368775068</v>
      </c>
      <c r="AE23" s="43" t="n">
        <f aca="false">AD23+IF(AD23&lt;=(Parameter!$C$30*Parameter!$C$57*F23),0,MIN(Parameter!$C$29*AD23,Parameter!$C$31*(AD23-(Parameter!$C$30*Parameter!$C$57*F23))))+Eingaben!$C$16*AD23</f>
        <v>7473.16368775068</v>
      </c>
      <c r="AF23" s="43" t="n">
        <f aca="false">AB23-AE23</f>
        <v>1272.94383209278</v>
      </c>
      <c r="AG23" s="43" t="n">
        <f aca="false">MAX(0,K23-T23-AF23)</f>
        <v>2838.19534332875</v>
      </c>
      <c r="AH23" s="43" t="n">
        <f aca="false">MIN(AG23,Parameter!$C$49)</f>
        <v>2838.19534332875</v>
      </c>
      <c r="AI23" s="43" t="n">
        <f aca="false">Parameter!$C$44*MIN(AH23,Parameter!$C$45)+Parameter!$C$46*MAX(0,MIN(AH23,Parameter!$C$47)-Parameter!$C$45)</f>
        <v>540</v>
      </c>
      <c r="AJ23" s="43" t="n">
        <f aca="false">MIN(AH23,Parameter!$C$48)*Eingaben!$C$18*IF(15&lt;Eingaben!$C$19,1,0)</f>
        <v>0</v>
      </c>
      <c r="AK23" s="43" t="n">
        <f aca="false">MIN(AI23+AJ23,MAX(0,Parameter!$C$49-AH23))</f>
        <v>540</v>
      </c>
      <c r="AL23" s="43" t="n">
        <f aca="false">MIN(MIN(AH23,Parameter!$C$47)+AK23,Parameter!$C$50)</f>
        <v>2340</v>
      </c>
      <c r="AM23" s="43" t="n">
        <f aca="false">MAX(0,X23-AL23)</f>
        <v>48433.1830252553</v>
      </c>
      <c r="AN23" s="43" t="n">
        <f aca="false">MAX(0,(AM23+IF(Eingaben!$C$14=3,Eingaben!$C$15,0))/Parameter!$C$57/F23)</f>
        <v>35986.5684079946</v>
      </c>
      <c r="AO23" s="43" t="n">
        <f aca="false">Parameter!$C$57*F23*(IF(AN23&lt;=Parameter!$C$18,0,IF(AN23&lt;=Parameter!$C$19,(Parameter!$C$22*(AN23-Parameter!$C$18)/10000+Parameter!$C$23)*(AN23-Parameter!$C$18)/10000,IF(AN23&lt;=Parameter!$C$20,(Parameter!$C$24*(AN23-Parameter!$C$19)/10000+Parameter!$C$25)*(AN23-Parameter!$C$19)/10000+Parameter!$C$26,IF(AN23&lt;=Parameter!$C$21,0.42*AN23-Parameter!$C$27,0.45*AN23-Parameter!$C$28)))))</f>
        <v>8030.82808369531</v>
      </c>
      <c r="AP23" s="43" t="n">
        <f aca="false">AO23+IF(AO23&lt;=(Parameter!$C$30*Parameter!$C$57*F23),0,MIN(Parameter!$C$29*AO23,Parameter!$C$31*(AO23-(Parameter!$C$30*Parameter!$C$57*F23))))+Eingaben!$C$16*AO23</f>
        <v>8030.82808369531</v>
      </c>
      <c r="AQ23" s="43" t="n">
        <f aca="false">AB23-AP23</f>
        <v>715.279436148154</v>
      </c>
      <c r="AR23" s="43" t="n">
        <f aca="false">MAX(0,AQ23-AK23)</f>
        <v>175.279436148154</v>
      </c>
      <c r="AS23" s="43" t="n">
        <f aca="false">MIN(AH23,Parameter!$C$47)+AK23</f>
        <v>2340</v>
      </c>
      <c r="AT23" s="43" t="n">
        <f aca="false">MAX(0,AH23-Parameter!$C$47)+AR22</f>
        <v>1425.9383783168</v>
      </c>
      <c r="AU23" s="43" t="n">
        <f aca="false">MAX(0,AG23-Parameter!$C$49)</f>
        <v>0</v>
      </c>
      <c r="AV23" s="43" t="n">
        <f aca="false">AG23</f>
        <v>2838.19534332875</v>
      </c>
      <c r="AW23" s="43" t="n">
        <f aca="false">IF(D23=0,AW22,AW22*(1+Parameter!$C$60)+P23*(1+Parameter!$C$60)^0.5)</f>
        <v>128043.798962302</v>
      </c>
      <c r="AX23" s="43" t="n">
        <f aca="false">IF(D23=0,AX22,AX22*(1+Parameter!$C$60)+Q23*(1+Parameter!$C$60)^0.5)</f>
        <v>0</v>
      </c>
      <c r="AY23" s="43" t="n">
        <f aca="false">IF(D23=0,AY22,AY22*(1+Parameter!$C$61)+AS23*(1+Parameter!$C$61)^0.5)</f>
        <v>64606.9965237148</v>
      </c>
      <c r="AZ23" s="43" t="n">
        <f aca="false">IF(D23=0,AZ22,AZ22*(1+Parameter!$C$61)+AT23*(1+Parameter!$C$61)^0.5)</f>
        <v>22870.1985073808</v>
      </c>
      <c r="BA23" s="43" t="n">
        <f aca="false">IF(D23=0,BA22,BA22*(1+Parameter!$C$62)+AU23*(1+Parameter!$C$62)^0.5-BD23)</f>
        <v>0</v>
      </c>
      <c r="BB23" s="43" t="n">
        <f aca="false">IF(D23=0,BB22,BB22+AU23+BC23)</f>
        <v>0</v>
      </c>
      <c r="BC23" s="43" t="n">
        <f aca="false">MAX(0,MIN(BA22*(1+Parameter!$C$62)+AU23*(1+Parameter!$C$62)^0.5-BA22-AU23,BA22*Parameter!$C$39*Parameter!$C$40))</f>
        <v>0</v>
      </c>
      <c r="BD23" s="43" t="n">
        <f aca="false">MAX(0,BC23*(1-Parameter!$C$37)-Parameter!$C$67)*Parameter!$C$36</f>
        <v>0</v>
      </c>
      <c r="BE23" s="43" t="n">
        <f aca="false">IF(D23=0,BE22,BE22*(1+Parameter!$C$62)+AV23*(1+Parameter!$C$62)^0.5-BH23)</f>
        <v>65040.0300726488</v>
      </c>
      <c r="BF23" s="43" t="n">
        <f aca="false">IF(D23=0,BF22,BF22+AV23+BG23)</f>
        <v>46432.0163242582</v>
      </c>
      <c r="BG23" s="43" t="n">
        <f aca="false">MAX(0,MIN(BE22*(1+Parameter!$C$62)+AV23*(1+Parameter!$C$62)^0.5-BE22-AV23,BE22*Parameter!$C$39*Parameter!$C$40))</f>
        <v>1302.61711268975</v>
      </c>
      <c r="BH23" s="43" t="n">
        <f aca="false">MAX(0,BG23*(1-Parameter!$C$37)-Parameter!$C$67)*Parameter!$C$36</f>
        <v>0</v>
      </c>
      <c r="BI23" s="41" t="n">
        <f aca="false">R23/(Parameter!$C$8*E23)</f>
        <v>0.0693054058216541</v>
      </c>
      <c r="BJ23" s="41" t="n">
        <f aca="false">BJ22+BI23</f>
        <v>1.10888649314647</v>
      </c>
    </row>
    <row r="24" customFormat="false" ht="15" hidden="false" customHeight="false" outlineLevel="0" collapsed="false">
      <c r="A24" s="30" t="n">
        <f aca="false">2026+16</f>
        <v>2042</v>
      </c>
      <c r="B24" s="30" t="n">
        <f aca="false">Eingaben!$C$5+16</f>
        <v>56</v>
      </c>
      <c r="C24" s="30" t="n">
        <f aca="false">IF(AND(B24&lt;Eingaben!$C$8,B24&lt;Eingaben!$C$6),1,0)</f>
        <v>1</v>
      </c>
      <c r="D24" s="30" t="n">
        <f aca="false">IF(B24&lt;Eingaben!$C$6,1,0)</f>
        <v>1</v>
      </c>
      <c r="E24" s="38" t="n">
        <f aca="false">(1+Eingaben!$C$13)^16</f>
        <v>1.48450562066056</v>
      </c>
      <c r="F24" s="38" t="n">
        <f aca="false">(1+Eingaben!$C$17)^16</f>
        <v>1.37278570509061</v>
      </c>
      <c r="G24" s="39" t="n">
        <f aca="false">IF(B24&gt;=Eingaben!$C$9,Eingaben!$C$10,1)</f>
        <v>0.6</v>
      </c>
      <c r="H24" s="40" t="n">
        <f aca="false">Eingaben!$C$12*E24*G24*C24</f>
        <v>66802.7529297253</v>
      </c>
      <c r="I24" s="40" t="n">
        <f aca="false">Parameter!$C$4*E24</f>
        <v>150528.869934981</v>
      </c>
      <c r="J24" s="40" t="n">
        <f aca="false">Parameter!$C$5*E24</f>
        <v>103544.267041074</v>
      </c>
      <c r="K24" s="40" t="n">
        <f aca="false">MIN(H24,12*(IF(Eingaben!$C$22=2,Umrechnung!$C$54,Eingaben!$C$23))*IF(Eingaben!$C$25=1,E24,1))*C24</f>
        <v>5344.22023437802</v>
      </c>
      <c r="L24" s="40" t="n">
        <f aca="false">MIN(K24,MAX(0,Parameter!$C$42*I24-N24))</f>
        <v>5344.22023437802</v>
      </c>
      <c r="M24" s="40" t="n">
        <f aca="false">MIN(K24,Parameter!$C$43*I24)</f>
        <v>5344.22023437802</v>
      </c>
      <c r="N24" s="40" t="n">
        <f aca="false">IF(Eingaben!$C$27=2,MIN(Eingaben!$C$26*K24,U24),Eingaben!$C$26*IF(Eingaben!$C$27=1,M24,K24))</f>
        <v>801.633035156704</v>
      </c>
      <c r="O24" s="40" t="n">
        <f aca="false">K24+N24</f>
        <v>6145.85326953473</v>
      </c>
      <c r="P24" s="40" t="n">
        <f aca="false">MIN(O24,Parameter!$C$42*I24)</f>
        <v>6145.85326953473</v>
      </c>
      <c r="Q24" s="40" t="n">
        <f aca="false">O24-P24</f>
        <v>0</v>
      </c>
      <c r="R24" s="40" t="n">
        <f aca="false">MIN(H24,I24)-MIN(H24-M24,I24)</f>
        <v>5344.22023437802</v>
      </c>
      <c r="S24" s="40" t="n">
        <f aca="false">MIN(H24,J24)-MIN(H24-M24,J24)</f>
        <v>5344.22023437802</v>
      </c>
      <c r="T24" s="40" t="n">
        <f aca="false">R24*(Parameter!$C$10+Parameter!$C$11)+S24*((Parameter!$C$12+Parameter!$C$13)/2+Parameter!$C$58)</f>
        <v>1130.30257957095</v>
      </c>
      <c r="U24" s="40" t="n">
        <f aca="false">R24*(Parameter!$C$10+Parameter!$C$11)+S24*((Parameter!$C$12+Parameter!$C$13)/2+Parameter!$C$15)</f>
        <v>1130.30257957095</v>
      </c>
      <c r="V24" s="40" t="n">
        <f aca="false">MIN(H24,I24)*Parameter!$C$10+MIN(H24,J24)*(0.96*(Parameter!$C$12+Parameter!$C$13)/2+Parameter!$C$58)</f>
        <v>13026.5368212964</v>
      </c>
      <c r="W24" s="40" t="n">
        <f aca="false">MIN(H24-M24,I24)*Parameter!$C$10+MIN(H24-M24,J24)*(0.96*(Parameter!$C$12+Parameter!$C$13)/2+Parameter!$C$58)</f>
        <v>11984.4138755927</v>
      </c>
      <c r="X24" s="40" t="n">
        <f aca="false">MAX(0,H24-Parameter!$C$32*F24-Parameter!$C$33-V24)</f>
        <v>52051.6896911674</v>
      </c>
      <c r="Y24" s="40" t="n">
        <f aca="false">MAX(0,H24-L24-Parameter!$C$32*F24-Parameter!$C$33-W24)</f>
        <v>47749.5924024931</v>
      </c>
      <c r="Z24" s="40" t="n">
        <f aca="false">MAX(0,(X24+IF(Eingaben!$C$14=3,Eingaben!$C$15,0))/Parameter!$C$57/F24)</f>
        <v>37916.8354522833</v>
      </c>
      <c r="AA24" s="40" t="n">
        <f aca="false">Parameter!$C$57*F24*(IF(Z24&lt;=Parameter!$C$18,0,IF(Z24&lt;=Parameter!$C$19,(Parameter!$C$22*(Z24-Parameter!$C$18)/10000+Parameter!$C$23)*(Z24-Parameter!$C$18)/10000,IF(Z24&lt;=Parameter!$C$20,(Parameter!$C$24*(Z24-Parameter!$C$19)/10000+Parameter!$C$25)*(Z24-Parameter!$C$19)/10000+Parameter!$C$26,IF(Z24&lt;=Parameter!$C$21,0.42*Z24-Parameter!$C$27,0.45*Z24-Parameter!$C$28)))))</f>
        <v>9002.31423729677</v>
      </c>
      <c r="AB24" s="40" t="n">
        <f aca="false">AA24+IF(AA24&lt;=(Parameter!$C$30*Parameter!$C$57*F24),0,MIN(Parameter!$C$29*AA24,Parameter!$C$31*(AA24-(Parameter!$C$30*Parameter!$C$57*F24))))+Eingaben!$C$16*AA24</f>
        <v>9002.31423729677</v>
      </c>
      <c r="AC24" s="40" t="n">
        <f aca="false">MAX(0,(Y24+IF(Eingaben!$C$14=3,Eingaben!$C$15,0))/Parameter!$C$57/F24)</f>
        <v>34782.9906921571</v>
      </c>
      <c r="AD24" s="40" t="n">
        <f aca="false">Parameter!$C$57*F24*(IF(AC24&lt;=Parameter!$C$18,0,IF(AC24&lt;=Parameter!$C$19,(Parameter!$C$22*(AC24-Parameter!$C$18)/10000+Parameter!$C$23)*(AC24-Parameter!$C$18)/10000,IF(AC24&lt;=Parameter!$C$20,(Parameter!$C$24*(AC24-Parameter!$C$19)/10000+Parameter!$C$25)*(AC24-Parameter!$C$19)/10000+Parameter!$C$26,IF(AC24&lt;=Parameter!$C$21,0.42*AC24-Parameter!$C$27,0.45*AC24-Parameter!$C$28)))))</f>
        <v>7694.80679994259</v>
      </c>
      <c r="AE24" s="40" t="n">
        <f aca="false">AD24+IF(AD24&lt;=(Parameter!$C$30*Parameter!$C$57*F24),0,MIN(Parameter!$C$29*AD24,Parameter!$C$31*(AD24-(Parameter!$C$30*Parameter!$C$57*F24))))+Eingaben!$C$16*AD24</f>
        <v>7694.80679994259</v>
      </c>
      <c r="AF24" s="40" t="n">
        <f aca="false">AB24-AE24</f>
        <v>1307.50743735418</v>
      </c>
      <c r="AG24" s="40" t="n">
        <f aca="false">MAX(0,K24-T24-AF24)</f>
        <v>2906.41021745289</v>
      </c>
      <c r="AH24" s="40" t="n">
        <f aca="false">MIN(AG24,Parameter!$C$49)</f>
        <v>2906.41021745289</v>
      </c>
      <c r="AI24" s="40" t="n">
        <f aca="false">Parameter!$C$44*MIN(AH24,Parameter!$C$45)+Parameter!$C$46*MAX(0,MIN(AH24,Parameter!$C$47)-Parameter!$C$45)</f>
        <v>540</v>
      </c>
      <c r="AJ24" s="40" t="n">
        <f aca="false">MIN(AH24,Parameter!$C$48)*Eingaben!$C$18*IF(16&lt;Eingaben!$C$19,1,0)</f>
        <v>0</v>
      </c>
      <c r="AK24" s="40" t="n">
        <f aca="false">MIN(AI24+AJ24,MAX(0,Parameter!$C$49-AH24))</f>
        <v>540</v>
      </c>
      <c r="AL24" s="40" t="n">
        <f aca="false">MIN(MIN(AH24,Parameter!$C$47)+AK24,Parameter!$C$50)</f>
        <v>2340</v>
      </c>
      <c r="AM24" s="40" t="n">
        <f aca="false">MAX(0,X24-AL24)</f>
        <v>49711.6896911674</v>
      </c>
      <c r="AN24" s="40" t="n">
        <f aca="false">MAX(0,(AM24+IF(Eingaben!$C$14=3,Eingaben!$C$15,0))/Parameter!$C$57/F24)</f>
        <v>36212.272248192</v>
      </c>
      <c r="AO24" s="40" t="n">
        <f aca="false">Parameter!$C$57*F24*(IF(AN24&lt;=Parameter!$C$18,0,IF(AN24&lt;=Parameter!$C$19,(Parameter!$C$22*(AN24-Parameter!$C$18)/10000+Parameter!$C$23)*(AN24-Parameter!$C$18)/10000,IF(AN24&lt;=Parameter!$C$20,(Parameter!$C$24*(AN24-Parameter!$C$19)/10000+Parameter!$C$25)*(AN24-Parameter!$C$19)/10000+Parameter!$C$26,IF(AN24&lt;=Parameter!$C$21,0.42*AN24-Parameter!$C$27,0.45*AN24-Parameter!$C$28)))))</f>
        <v>8285.34444431169</v>
      </c>
      <c r="AP24" s="40" t="n">
        <f aca="false">AO24+IF(AO24&lt;=(Parameter!$C$30*Parameter!$C$57*F24),0,MIN(Parameter!$C$29*AO24,Parameter!$C$31*(AO24-(Parameter!$C$30*Parameter!$C$57*F24))))+Eingaben!$C$16*AO24</f>
        <v>8285.34444431169</v>
      </c>
      <c r="AQ24" s="40" t="n">
        <f aca="false">AB24-AP24</f>
        <v>716.969792985083</v>
      </c>
      <c r="AR24" s="40" t="n">
        <f aca="false">MAX(0,AQ24-AK24)</f>
        <v>176.969792985083</v>
      </c>
      <c r="AS24" s="40" t="n">
        <f aca="false">MIN(AH24,Parameter!$C$47)+AK24</f>
        <v>2340</v>
      </c>
      <c r="AT24" s="40" t="n">
        <f aca="false">MAX(0,AH24-Parameter!$C$47)+AR23</f>
        <v>1281.68965360104</v>
      </c>
      <c r="AU24" s="40" t="n">
        <f aca="false">MAX(0,AG24-Parameter!$C$49)</f>
        <v>0</v>
      </c>
      <c r="AV24" s="40" t="n">
        <f aca="false">AG24</f>
        <v>2906.41021745289</v>
      </c>
      <c r="AW24" s="40" t="n">
        <f aca="false">IF(D24=0,AW23,AW23*(1+Parameter!$C$60)+P24*(1+Parameter!$C$60)^0.5)</f>
        <v>142578.072831284</v>
      </c>
      <c r="AX24" s="40" t="n">
        <f aca="false">IF(D24=0,AX23,AX23*(1+Parameter!$C$60)+Q24*(1+Parameter!$C$60)^0.5)</f>
        <v>0</v>
      </c>
      <c r="AY24" s="40" t="n">
        <f aca="false">IF(D24=0,AY23,AY23*(1+Parameter!$C$61)+AS24*(1+Parameter!$C$61)^0.5)</f>
        <v>71221.3040883007</v>
      </c>
      <c r="AZ24" s="40" t="n">
        <f aca="false">IF(D24=0,AZ23,AZ23*(1+Parameter!$C$61)+AT24*(1+Parameter!$C$61)^0.5)</f>
        <v>25679.4502294248</v>
      </c>
      <c r="BA24" s="40" t="n">
        <f aca="false">IF(D24=0,BA23,BA23*(1+Parameter!$C$62)+AU24*(1+Parameter!$C$62)^0.5-BD24)</f>
        <v>0</v>
      </c>
      <c r="BB24" s="40" t="n">
        <f aca="false">IF(D24=0,BB23,BB23+AU24+BC24)</f>
        <v>0</v>
      </c>
      <c r="BC24" s="40" t="n">
        <f aca="false">MAX(0,MIN(BA23*(1+Parameter!$C$62)+AU24*(1+Parameter!$C$62)^0.5-BA23-AU24,BA23*Parameter!$C$39*Parameter!$C$40))</f>
        <v>0</v>
      </c>
      <c r="BD24" s="40" t="n">
        <f aca="false">MAX(0,BC24*(1-Parameter!$C$37)-Parameter!$C$67)*Parameter!$C$36</f>
        <v>0</v>
      </c>
      <c r="BE24" s="40" t="n">
        <f aca="false">IF(D24=0,BE23,BE23*(1+Parameter!$C$62)+AV24*(1+Parameter!$C$62)^0.5-BH24)</f>
        <v>72461.1256282245</v>
      </c>
      <c r="BF24" s="40" t="n">
        <f aca="false">IF(D24=0,BF23,BF23+AV24+BG24)</f>
        <v>50795.3232153384</v>
      </c>
      <c r="BG24" s="40" t="n">
        <f aca="false">MAX(0,MIN(BE23*(1+Parameter!$C$62)+AV24*(1+Parameter!$C$62)^0.5-BE23-AV24,BE23*Parameter!$C$39*Parameter!$C$40))</f>
        <v>1456.89667362733</v>
      </c>
      <c r="BH24" s="40" t="n">
        <f aca="false">MAX(0,BG24*(1-Parameter!$C$37)-Parameter!$C$67)*Parameter!$C$36</f>
        <v>5.2295483684463</v>
      </c>
      <c r="BI24" s="38" t="n">
        <f aca="false">R24/(Parameter!$C$8*E24)</f>
        <v>0.0693054058216541</v>
      </c>
      <c r="BJ24" s="38" t="n">
        <f aca="false">BJ23+BI24</f>
        <v>1.17819189896812</v>
      </c>
    </row>
    <row r="25" customFormat="false" ht="15" hidden="false" customHeight="false" outlineLevel="0" collapsed="false">
      <c r="A25" s="32" t="n">
        <f aca="false">2026+17</f>
        <v>2043</v>
      </c>
      <c r="B25" s="32" t="n">
        <f aca="false">Eingaben!$C$5+17</f>
        <v>57</v>
      </c>
      <c r="C25" s="32" t="n">
        <f aca="false">IF(AND(B25&lt;Eingaben!$C$8,B25&lt;Eingaben!$C$6),1,0)</f>
        <v>1</v>
      </c>
      <c r="D25" s="32" t="n">
        <f aca="false">IF(B25&lt;Eingaben!$C$6,1,0)</f>
        <v>1</v>
      </c>
      <c r="E25" s="41" t="n">
        <f aca="false">(1+Eingaben!$C$13)^17</f>
        <v>1.52161826117708</v>
      </c>
      <c r="F25" s="41" t="n">
        <f aca="false">(1+Eingaben!$C$17)^17</f>
        <v>1.40024141919242</v>
      </c>
      <c r="G25" s="42" t="n">
        <f aca="false">IF(B25&gt;=Eingaben!$C$9,Eingaben!$C$10,1)</f>
        <v>0.6</v>
      </c>
      <c r="H25" s="43" t="n">
        <f aca="false">Eingaben!$C$12*E25*G25*C25</f>
        <v>68472.8217529684</v>
      </c>
      <c r="I25" s="43" t="n">
        <f aca="false">Parameter!$C$4*E25</f>
        <v>154292.091683356</v>
      </c>
      <c r="J25" s="43" t="n">
        <f aca="false">Parameter!$C$5*E25</f>
        <v>106132.873717101</v>
      </c>
      <c r="K25" s="43" t="n">
        <f aca="false">MIN(H25,12*(IF(Eingaben!$C$22=2,Umrechnung!$C$54,Eingaben!$C$23))*IF(Eingaben!$C$25=1,E25,1))*C25</f>
        <v>5477.82574023747</v>
      </c>
      <c r="L25" s="43" t="n">
        <f aca="false">MIN(K25,MAX(0,Parameter!$C$42*I25-N25))</f>
        <v>5477.82574023747</v>
      </c>
      <c r="M25" s="43" t="n">
        <f aca="false">MIN(K25,Parameter!$C$43*I25)</f>
        <v>5477.82574023747</v>
      </c>
      <c r="N25" s="43" t="n">
        <f aca="false">IF(Eingaben!$C$27=2,MIN(Eingaben!$C$26*K25,U25),Eingaben!$C$26*IF(Eingaben!$C$27=1,M25,K25))</f>
        <v>821.673861035621</v>
      </c>
      <c r="O25" s="43" t="n">
        <f aca="false">K25+N25</f>
        <v>6299.4996012731</v>
      </c>
      <c r="P25" s="43" t="n">
        <f aca="false">MIN(O25,Parameter!$C$42*I25)</f>
        <v>6299.4996012731</v>
      </c>
      <c r="Q25" s="43" t="n">
        <f aca="false">O25-P25</f>
        <v>0</v>
      </c>
      <c r="R25" s="43" t="n">
        <f aca="false">MIN(H25,I25)-MIN(H25-M25,I25)</f>
        <v>5477.82574023747</v>
      </c>
      <c r="S25" s="43" t="n">
        <f aca="false">MIN(H25,J25)-MIN(H25-M25,J25)</f>
        <v>5477.82574023747</v>
      </c>
      <c r="T25" s="43" t="n">
        <f aca="false">R25*(Parameter!$C$10+Parameter!$C$11)+S25*((Parameter!$C$12+Parameter!$C$13)/2+Parameter!$C$58)</f>
        <v>1158.56014406023</v>
      </c>
      <c r="U25" s="43" t="n">
        <f aca="false">R25*(Parameter!$C$10+Parameter!$C$11)+S25*((Parameter!$C$12+Parameter!$C$13)/2+Parameter!$C$15)</f>
        <v>1158.56014406023</v>
      </c>
      <c r="V25" s="43" t="n">
        <f aca="false">MIN(H25,I25)*Parameter!$C$10+MIN(H25,J25)*(0.96*(Parameter!$C$12+Parameter!$C$13)/2+Parameter!$C$58)</f>
        <v>13352.2002418288</v>
      </c>
      <c r="W25" s="43" t="n">
        <f aca="false">MIN(H25-M25,I25)*Parameter!$C$10+MIN(H25-M25,J25)*(0.96*(Parameter!$C$12+Parameter!$C$13)/2+Parameter!$C$58)</f>
        <v>12284.0242224825</v>
      </c>
      <c r="X25" s="43" t="n">
        <f aca="false">MAX(0,H25-Parameter!$C$32*F25-Parameter!$C$33-V25)</f>
        <v>53362.3245655329</v>
      </c>
      <c r="Y25" s="43" t="n">
        <f aca="false">MAX(0,H25-L25-Parameter!$C$32*F25-Parameter!$C$33-W25)</f>
        <v>48952.6748446417</v>
      </c>
      <c r="Z25" s="43" t="n">
        <f aca="false">MAX(0,(X25+IF(Eingaben!$C$14=3,Eingaben!$C$15,0))/Parameter!$C$57/F25)</f>
        <v>38109.3744508066</v>
      </c>
      <c r="AA25" s="43" t="n">
        <f aca="false">Parameter!$C$57*F25*(IF(Z25&lt;=Parameter!$C$18,0,IF(Z25&lt;=Parameter!$C$19,(Parameter!$C$22*(Z25-Parameter!$C$18)/10000+Parameter!$C$23)*(Z25-Parameter!$C$18)/10000,IF(Z25&lt;=Parameter!$C$20,(Parameter!$C$24*(Z25-Parameter!$C$19)/10000+Parameter!$C$25)*(Z25-Parameter!$C$19)/10000+Parameter!$C$26,IF(Z25&lt;=Parameter!$C$21,0.42*Z25-Parameter!$C$27,0.45*Z25-Parameter!$C$28)))))</f>
        <v>9265.8509166362</v>
      </c>
      <c r="AB25" s="43" t="n">
        <f aca="false">AA25+IF(AA25&lt;=(Parameter!$C$30*Parameter!$C$57*F25),0,MIN(Parameter!$C$29*AA25,Parameter!$C$31*(AA25-(Parameter!$C$30*Parameter!$C$57*F25))))+Eingaben!$C$16*AA25</f>
        <v>9265.8509166362</v>
      </c>
      <c r="AC25" s="43" t="n">
        <f aca="false">MAX(0,(Y25+IF(Eingaben!$C$14=3,Eingaben!$C$15,0))/Parameter!$C$57/F25)</f>
        <v>34960.1677065621</v>
      </c>
      <c r="AD25" s="43" t="n">
        <f aca="false">Parameter!$C$57*F25*(IF(AC25&lt;=Parameter!$C$18,0,IF(AC25&lt;=Parameter!$C$19,(Parameter!$C$22*(AC25-Parameter!$C$18)/10000+Parameter!$C$23)*(AC25-Parameter!$C$18)/10000,IF(AC25&lt;=Parameter!$C$20,(Parameter!$C$24*(AC25-Parameter!$C$19)/10000+Parameter!$C$25)*(AC25-Parameter!$C$19)/10000+Parameter!$C$26,IF(AC25&lt;=Parameter!$C$21,0.42*AC25-Parameter!$C$27,0.45*AC25-Parameter!$C$28)))))</f>
        <v>7922.83371269418</v>
      </c>
      <c r="AE25" s="43" t="n">
        <f aca="false">AD25+IF(AD25&lt;=(Parameter!$C$30*Parameter!$C$57*F25),0,MIN(Parameter!$C$29*AD25,Parameter!$C$31*(AD25-(Parameter!$C$30*Parameter!$C$57*F25))))+Eingaben!$C$16*AD25</f>
        <v>7922.83371269418</v>
      </c>
      <c r="AF25" s="43" t="n">
        <f aca="false">AB25-AE25</f>
        <v>1343.01720394203</v>
      </c>
      <c r="AG25" s="43" t="n">
        <f aca="false">MAX(0,K25-T25-AF25)</f>
        <v>2976.24839223522</v>
      </c>
      <c r="AH25" s="43" t="n">
        <f aca="false">MIN(AG25,Parameter!$C$49)</f>
        <v>2976.24839223522</v>
      </c>
      <c r="AI25" s="43" t="n">
        <f aca="false">Parameter!$C$44*MIN(AH25,Parameter!$C$45)+Parameter!$C$46*MAX(0,MIN(AH25,Parameter!$C$47)-Parameter!$C$45)</f>
        <v>540</v>
      </c>
      <c r="AJ25" s="43" t="n">
        <f aca="false">MIN(AH25,Parameter!$C$48)*Eingaben!$C$18*IF(17&lt;Eingaben!$C$19,1,0)</f>
        <v>0</v>
      </c>
      <c r="AK25" s="43" t="n">
        <f aca="false">MIN(AI25+AJ25,MAX(0,Parameter!$C$49-AH25))</f>
        <v>540</v>
      </c>
      <c r="AL25" s="43" t="n">
        <f aca="false">MIN(MIN(AH25,Parameter!$C$47)+AK25,Parameter!$C$50)</f>
        <v>2340</v>
      </c>
      <c r="AM25" s="43" t="n">
        <f aca="false">MAX(0,X25-AL25)</f>
        <v>51022.3245655329</v>
      </c>
      <c r="AN25" s="43" t="n">
        <f aca="false">MAX(0,(AM25+IF(Eingaben!$C$14=3,Eingaben!$C$15,0))/Parameter!$C$57/F25)</f>
        <v>36438.2340546386</v>
      </c>
      <c r="AO25" s="43" t="n">
        <f aca="false">Parameter!$C$57*F25*(IF(AN25&lt;=Parameter!$C$18,0,IF(AN25&lt;=Parameter!$C$19,(Parameter!$C$22*(AN25-Parameter!$C$18)/10000+Parameter!$C$23)*(AN25-Parameter!$C$18)/10000,IF(AN25&lt;=Parameter!$C$20,(Parameter!$C$24*(AN25-Parameter!$C$19)/10000+Parameter!$C$25)*(AN25-Parameter!$C$19)/10000+Parameter!$C$26,IF(AN25&lt;=Parameter!$C$21,0.42*AN25-Parameter!$C$27,0.45*AN25-Parameter!$C$28)))))</f>
        <v>8547.18596940055</v>
      </c>
      <c r="AP25" s="43" t="n">
        <f aca="false">AO25+IF(AO25&lt;=(Parameter!$C$30*Parameter!$C$57*F25),0,MIN(Parameter!$C$29*AO25,Parameter!$C$31*(AO25-(Parameter!$C$30*Parameter!$C$57*F25))))+Eingaben!$C$16*AO25</f>
        <v>8547.18596940055</v>
      </c>
      <c r="AQ25" s="43" t="n">
        <f aca="false">AB25-AP25</f>
        <v>718.664947235646</v>
      </c>
      <c r="AR25" s="43" t="n">
        <f aca="false">MAX(0,AQ25-AK25)</f>
        <v>178.664947235646</v>
      </c>
      <c r="AS25" s="43" t="n">
        <f aca="false">MIN(AH25,Parameter!$C$47)+AK25</f>
        <v>2340</v>
      </c>
      <c r="AT25" s="43" t="n">
        <f aca="false">MAX(0,AH25-Parameter!$C$47)+AR24</f>
        <v>1353.21818522031</v>
      </c>
      <c r="AU25" s="43" t="n">
        <f aca="false">MAX(0,AG25-Parameter!$C$49)</f>
        <v>0</v>
      </c>
      <c r="AV25" s="43" t="n">
        <f aca="false">AG25</f>
        <v>2976.24839223522</v>
      </c>
      <c r="AW25" s="43" t="n">
        <f aca="false">IF(D25=0,AW24,AW24*(1+Parameter!$C$60)+P25*(1+Parameter!$C$60)^0.5)</f>
        <v>158201.026996267</v>
      </c>
      <c r="AX25" s="43" t="n">
        <f aca="false">IF(D25=0,AX24,AX24*(1+Parameter!$C$60)+Q25*(1+Parameter!$C$60)^0.5)</f>
        <v>0</v>
      </c>
      <c r="AY25" s="43" t="n">
        <f aca="false">IF(D25=0,AY24,AY24*(1+Parameter!$C$61)+AS25*(1+Parameter!$C$61)^0.5)</f>
        <v>78265.5416445846</v>
      </c>
      <c r="AZ25" s="43" t="n">
        <f aca="false">IF(D25=0,AZ24,AZ24*(1+Parameter!$C$61)+AT25*(1+Parameter!$C$61)^0.5)</f>
        <v>28745.119926301</v>
      </c>
      <c r="BA25" s="43" t="n">
        <f aca="false">IF(D25=0,BA24,BA24*(1+Parameter!$C$62)+AU25*(1+Parameter!$C$62)^0.5-BD25)</f>
        <v>0</v>
      </c>
      <c r="BB25" s="43" t="n">
        <f aca="false">IF(D25=0,BB24,BB24+AU25+BC25)</f>
        <v>0</v>
      </c>
      <c r="BC25" s="43" t="n">
        <f aca="false">MAX(0,MIN(BA24*(1+Parameter!$C$62)+AU25*(1+Parameter!$C$62)^0.5-BA24-AU25,BA24*Parameter!$C$39*Parameter!$C$40))</f>
        <v>0</v>
      </c>
      <c r="BD25" s="43" t="n">
        <f aca="false">MAX(0,BC25*(1-Parameter!$C$37)-Parameter!$C$67)*Parameter!$C$36</f>
        <v>0</v>
      </c>
      <c r="BE25" s="43" t="n">
        <f aca="false">IF(D25=0,BE24,BE24*(1+Parameter!$C$62)+AV25*(1+Parameter!$C$62)^0.5-BH25)</f>
        <v>80428.3386218319</v>
      </c>
      <c r="BF25" s="43" t="n">
        <f aca="false">IF(D25=0,BF24,BF24+AV25+BG25)</f>
        <v>55394.7008216458</v>
      </c>
      <c r="BG25" s="43" t="n">
        <f aca="false">MAX(0,MIN(BE24*(1+Parameter!$C$62)+AV25*(1+Parameter!$C$62)^0.5-BE24-AV25,BE24*Parameter!$C$39*Parameter!$C$40))</f>
        <v>1623.12921407223</v>
      </c>
      <c r="BH25" s="43" t="n">
        <f aca="false">MAX(0,BG25*(1-Parameter!$C$37)-Parameter!$C$67)*Parameter!$C$36</f>
        <v>35.9202311480852</v>
      </c>
      <c r="BI25" s="41" t="n">
        <f aca="false">R25/(Parameter!$C$8*E25)</f>
        <v>0.0693054058216541</v>
      </c>
      <c r="BJ25" s="41" t="n">
        <f aca="false">BJ24+BI25</f>
        <v>1.24749730478977</v>
      </c>
    </row>
    <row r="26" customFormat="false" ht="15" hidden="false" customHeight="false" outlineLevel="0" collapsed="false">
      <c r="A26" s="30" t="n">
        <f aca="false">2026+18</f>
        <v>2044</v>
      </c>
      <c r="B26" s="30" t="n">
        <f aca="false">Eingaben!$C$5+18</f>
        <v>58</v>
      </c>
      <c r="C26" s="30" t="n">
        <f aca="false">IF(AND(B26&lt;Eingaben!$C$8,B26&lt;Eingaben!$C$6),1,0)</f>
        <v>1</v>
      </c>
      <c r="D26" s="30" t="n">
        <f aca="false">IF(B26&lt;Eingaben!$C$6,1,0)</f>
        <v>1</v>
      </c>
      <c r="E26" s="38" t="n">
        <f aca="false">(1+Eingaben!$C$13)^18</f>
        <v>1.5596587177065</v>
      </c>
      <c r="F26" s="38" t="n">
        <f aca="false">(1+Eingaben!$C$17)^18</f>
        <v>1.42824624757627</v>
      </c>
      <c r="G26" s="39" t="n">
        <f aca="false">IF(B26&gt;=Eingaben!$C$9,Eingaben!$C$10,1)</f>
        <v>0.6</v>
      </c>
      <c r="H26" s="40" t="n">
        <f aca="false">Eingaben!$C$12*E26*G26*C26</f>
        <v>70184.6422967926</v>
      </c>
      <c r="I26" s="40" t="n">
        <f aca="false">Parameter!$C$4*E26</f>
        <v>158149.393975439</v>
      </c>
      <c r="J26" s="40" t="n">
        <f aca="false">Parameter!$C$5*E26</f>
        <v>108786.195560029</v>
      </c>
      <c r="K26" s="40" t="n">
        <f aca="false">MIN(H26,12*(IF(Eingaben!$C$22=2,Umrechnung!$C$54,Eingaben!$C$23))*IF(Eingaben!$C$25=1,E26,1))*C26</f>
        <v>5614.77138374341</v>
      </c>
      <c r="L26" s="40" t="n">
        <f aca="false">MIN(K26,MAX(0,Parameter!$C$42*I26-N26))</f>
        <v>5614.77138374341</v>
      </c>
      <c r="M26" s="40" t="n">
        <f aca="false">MIN(K26,Parameter!$C$43*I26)</f>
        <v>5614.77138374341</v>
      </c>
      <c r="N26" s="40" t="n">
        <f aca="false">IF(Eingaben!$C$27=2,MIN(Eingaben!$C$26*K26,U26),Eingaben!$C$26*IF(Eingaben!$C$27=1,M26,K26))</f>
        <v>842.215707561512</v>
      </c>
      <c r="O26" s="40" t="n">
        <f aca="false">K26+N26</f>
        <v>6456.98709130492</v>
      </c>
      <c r="P26" s="40" t="n">
        <f aca="false">MIN(O26,Parameter!$C$42*I26)</f>
        <v>6456.98709130492</v>
      </c>
      <c r="Q26" s="40" t="n">
        <f aca="false">O26-P26</f>
        <v>0</v>
      </c>
      <c r="R26" s="40" t="n">
        <f aca="false">MIN(H26,I26)-MIN(H26-M26,I26)</f>
        <v>5614.77138374341</v>
      </c>
      <c r="S26" s="40" t="n">
        <f aca="false">MIN(H26,J26)-MIN(H26-M26,J26)</f>
        <v>5614.77138374341</v>
      </c>
      <c r="T26" s="40" t="n">
        <f aca="false">R26*(Parameter!$C$10+Parameter!$C$11)+S26*((Parameter!$C$12+Parameter!$C$13)/2+Parameter!$C$58)</f>
        <v>1187.52414766173</v>
      </c>
      <c r="U26" s="40" t="n">
        <f aca="false">R26*(Parameter!$C$10+Parameter!$C$11)+S26*((Parameter!$C$12+Parameter!$C$13)/2+Parameter!$C$15)</f>
        <v>1187.52414766173</v>
      </c>
      <c r="V26" s="40" t="n">
        <f aca="false">MIN(H26,I26)*Parameter!$C$10+MIN(H26,J26)*(0.96*(Parameter!$C$12+Parameter!$C$13)/2+Parameter!$C$58)</f>
        <v>13686.0052478746</v>
      </c>
      <c r="W26" s="40" t="n">
        <f aca="false">MIN(H26-M26,I26)*Parameter!$C$10+MIN(H26-M26,J26)*(0.96*(Parameter!$C$12+Parameter!$C$13)/2+Parameter!$C$58)</f>
        <v>12591.1248280446</v>
      </c>
      <c r="X26" s="40" t="n">
        <f aca="false">MAX(0,H26-Parameter!$C$32*F26-Parameter!$C$33-V26)</f>
        <v>54705.8941643992</v>
      </c>
      <c r="Y26" s="40" t="n">
        <f aca="false">MAX(0,H26-L26-Parameter!$C$32*F26-Parameter!$C$33-W26)</f>
        <v>50186.0032004858</v>
      </c>
      <c r="Z26" s="40" t="n">
        <f aca="false">MAX(0,(X26+IF(Eingaben!$C$14=3,Eingaben!$C$15,0))/Parameter!$C$57/F26)</f>
        <v>38302.8446650813</v>
      </c>
      <c r="AA26" s="40" t="n">
        <f aca="false">Parameter!$C$57*F26*(IF(Z26&lt;=Parameter!$C$18,0,IF(Z26&lt;=Parameter!$C$19,(Parameter!$C$22*(Z26-Parameter!$C$18)/10000+Parameter!$C$23)*(Z26-Parameter!$C$18)/10000,IF(Z26&lt;=Parameter!$C$20,(Parameter!$C$24*(Z26-Parameter!$C$19)/10000+Parameter!$C$25)*(Z26-Parameter!$C$19)/10000+Parameter!$C$26,IF(Z26&lt;=Parameter!$C$21,0.42*Z26-Parameter!$C$27,0.45*Z26-Parameter!$C$28)))))</f>
        <v>9536.92464927719</v>
      </c>
      <c r="AB26" s="40" t="n">
        <f aca="false">AA26+IF(AA26&lt;=(Parameter!$C$30*Parameter!$C$57*F26),0,MIN(Parameter!$C$29*AA26,Parameter!$C$31*(AA26-(Parameter!$C$30*Parameter!$C$57*F26))))+Eingaben!$C$16*AA26</f>
        <v>9536.92464927719</v>
      </c>
      <c r="AC26" s="40" t="n">
        <f aca="false">MAX(0,(Y26+IF(Eingaben!$C$14=3,Eingaben!$C$15,0))/Parameter!$C$57/F26)</f>
        <v>35138.2006328749</v>
      </c>
      <c r="AD26" s="40" t="n">
        <f aca="false">Parameter!$C$57*F26*(IF(AC26&lt;=Parameter!$C$18,0,IF(AC26&lt;=Parameter!$C$19,(Parameter!$C$22*(AC26-Parameter!$C$18)/10000+Parameter!$C$23)*(AC26-Parameter!$C$18)/10000,IF(AC26&lt;=Parameter!$C$20,(Parameter!$C$24*(AC26-Parameter!$C$19)/10000+Parameter!$C$25)*(AC26-Parameter!$C$19)/10000+Parameter!$C$26,IF(AC26&lt;=Parameter!$C$21,0.42*AC26-Parameter!$C$27,0.45*AC26-Parameter!$C$28)))))</f>
        <v>8157.42540020233</v>
      </c>
      <c r="AE26" s="40" t="n">
        <f aca="false">AD26+IF(AD26&lt;=(Parameter!$C$30*Parameter!$C$57*F26),0,MIN(Parameter!$C$29*AD26,Parameter!$C$31*(AD26-(Parameter!$C$30*Parameter!$C$57*F26))))+Eingaben!$C$16*AD26</f>
        <v>8157.42540020233</v>
      </c>
      <c r="AF26" s="40" t="n">
        <f aca="false">AB26-AE26</f>
        <v>1379.49924907486</v>
      </c>
      <c r="AG26" s="40" t="n">
        <f aca="false">MAX(0,K26-T26-AF26)</f>
        <v>3047.74798700682</v>
      </c>
      <c r="AH26" s="40" t="n">
        <f aca="false">MIN(AG26,Parameter!$C$49)</f>
        <v>3047.74798700682</v>
      </c>
      <c r="AI26" s="40" t="n">
        <f aca="false">Parameter!$C$44*MIN(AH26,Parameter!$C$45)+Parameter!$C$46*MAX(0,MIN(AH26,Parameter!$C$47)-Parameter!$C$45)</f>
        <v>540</v>
      </c>
      <c r="AJ26" s="40" t="n">
        <f aca="false">MIN(AH26,Parameter!$C$48)*Eingaben!$C$18*IF(18&lt;Eingaben!$C$19,1,0)</f>
        <v>0</v>
      </c>
      <c r="AK26" s="40" t="n">
        <f aca="false">MIN(AI26+AJ26,MAX(0,Parameter!$C$49-AH26))</f>
        <v>540</v>
      </c>
      <c r="AL26" s="40" t="n">
        <f aca="false">MIN(MIN(AH26,Parameter!$C$47)+AK26,Parameter!$C$50)</f>
        <v>2340</v>
      </c>
      <c r="AM26" s="40" t="n">
        <f aca="false">MAX(0,X26-AL26)</f>
        <v>52365.8941643992</v>
      </c>
      <c r="AN26" s="40" t="n">
        <f aca="false">MAX(0,(AM26+IF(Eingaben!$C$14=3,Eingaben!$C$15,0))/Parameter!$C$57/F26)</f>
        <v>36664.4717276617</v>
      </c>
      <c r="AO26" s="40" t="n">
        <f aca="false">Parameter!$C$57*F26*(IF(AN26&lt;=Parameter!$C$18,0,IF(AN26&lt;=Parameter!$C$19,(Parameter!$C$22*(AN26-Parameter!$C$18)/10000+Parameter!$C$23)*(AN26-Parameter!$C$18)/10000,IF(AN26&lt;=Parameter!$C$20,(Parameter!$C$24*(AN26-Parameter!$C$19)/10000+Parameter!$C$25)*(AN26-Parameter!$C$19)/10000+Parameter!$C$26,IF(AN26&lt;=Parameter!$C$21,0.42*AN26-Parameter!$C$27,0.45*AN26-Parameter!$C$28)))))</f>
        <v>8816.55965845573</v>
      </c>
      <c r="AP26" s="40" t="n">
        <f aca="false">AO26+IF(AO26&lt;=(Parameter!$C$30*Parameter!$C$57*F26),0,MIN(Parameter!$C$29*AO26,Parameter!$C$31*(AO26-(Parameter!$C$30*Parameter!$C$57*F26))))+Eingaben!$C$16*AO26</f>
        <v>8816.55965845573</v>
      </c>
      <c r="AQ26" s="40" t="n">
        <f aca="false">AB26-AP26</f>
        <v>720.364990821463</v>
      </c>
      <c r="AR26" s="40" t="n">
        <f aca="false">MAX(0,AQ26-AK26)</f>
        <v>180.364990821463</v>
      </c>
      <c r="AS26" s="40" t="n">
        <f aca="false">MIN(AH26,Parameter!$C$47)+AK26</f>
        <v>2340</v>
      </c>
      <c r="AT26" s="40" t="n">
        <f aca="false">MAX(0,AH26-Parameter!$C$47)+AR25</f>
        <v>1426.41293424246</v>
      </c>
      <c r="AU26" s="40" t="n">
        <f aca="false">MAX(0,AG26-Parameter!$C$49)</f>
        <v>0</v>
      </c>
      <c r="AV26" s="40" t="n">
        <f aca="false">AG26</f>
        <v>3047.74798700682</v>
      </c>
      <c r="AW26" s="40" t="n">
        <f aca="false">IF(D26=0,AW25,AW25*(1+Parameter!$C$60)+P26*(1+Parameter!$C$60)^0.5)</f>
        <v>174986.299165402</v>
      </c>
      <c r="AX26" s="40" t="n">
        <f aca="false">IF(D26=0,AX25,AX25*(1+Parameter!$C$60)+Q26*(1+Parameter!$C$60)^0.5)</f>
        <v>0</v>
      </c>
      <c r="AY26" s="40" t="n">
        <f aca="false">IF(D26=0,AY25,AY25*(1+Parameter!$C$61)+AS26*(1+Parameter!$C$61)^0.5)</f>
        <v>85767.654642027</v>
      </c>
      <c r="AZ26" s="40" t="n">
        <f aca="false">IF(D26=0,AZ25,AZ25*(1+Parameter!$C$61)+AT26*(1+Parameter!$C$61)^0.5)</f>
        <v>32085.5942833584</v>
      </c>
      <c r="BA26" s="40" t="n">
        <f aca="false">IF(D26=0,BA25,BA25*(1+Parameter!$C$62)+AU26*(1+Parameter!$C$62)^0.5-BD26)</f>
        <v>0</v>
      </c>
      <c r="BB26" s="40" t="n">
        <f aca="false">IF(D26=0,BB25,BB25+AU26+BC26)</f>
        <v>0</v>
      </c>
      <c r="BC26" s="40" t="n">
        <f aca="false">MAX(0,MIN(BA25*(1+Parameter!$C$62)+AU26*(1+Parameter!$C$62)^0.5-BA25-AU26,BA25*Parameter!$C$39*Parameter!$C$40))</f>
        <v>0</v>
      </c>
      <c r="BD26" s="40" t="n">
        <f aca="false">MAX(0,BC26*(1-Parameter!$C$37)-Parameter!$C$67)*Parameter!$C$36</f>
        <v>0</v>
      </c>
      <c r="BE26" s="40" t="n">
        <f aca="false">IF(D26=0,BE25,BE25*(1+Parameter!$C$62)+AV26*(1+Parameter!$C$62)^0.5-BH26)</f>
        <v>88978.2634952741</v>
      </c>
      <c r="BF26" s="40" t="n">
        <f aca="false">IF(D26=0,BF25,BF25+AV26+BG26)</f>
        <v>60244.0435937817</v>
      </c>
      <c r="BG26" s="40" t="n">
        <f aca="false">MAX(0,MIN(BE25*(1+Parameter!$C$62)+AV26*(1+Parameter!$C$62)^0.5-BE25-AV26,BE25*Parameter!$C$39*Parameter!$C$40))</f>
        <v>1801.59478512904</v>
      </c>
      <c r="BH26" s="40" t="n">
        <f aca="false">MAX(0,BG26*(1-Parameter!$C$37)-Parameter!$C$67)*Parameter!$C$36</f>
        <v>68.8694372044481</v>
      </c>
      <c r="BI26" s="38" t="n">
        <f aca="false">R26/(Parameter!$C$8*E26)</f>
        <v>0.0693054058216541</v>
      </c>
      <c r="BJ26" s="38" t="n">
        <f aca="false">BJ25+BI26</f>
        <v>1.31680271061143</v>
      </c>
    </row>
    <row r="27" customFormat="false" ht="15" hidden="false" customHeight="false" outlineLevel="0" collapsed="false">
      <c r="A27" s="32" t="n">
        <f aca="false">2026+19</f>
        <v>2045</v>
      </c>
      <c r="B27" s="32" t="n">
        <f aca="false">Eingaben!$C$5+19</f>
        <v>59</v>
      </c>
      <c r="C27" s="32" t="n">
        <f aca="false">IF(AND(B27&lt;Eingaben!$C$8,B27&lt;Eingaben!$C$6),1,0)</f>
        <v>1</v>
      </c>
      <c r="D27" s="32" t="n">
        <f aca="false">IF(B27&lt;Eingaben!$C$6,1,0)</f>
        <v>1</v>
      </c>
      <c r="E27" s="41" t="n">
        <f aca="false">(1+Eingaben!$C$13)^19</f>
        <v>1.59865018564917</v>
      </c>
      <c r="F27" s="41" t="n">
        <f aca="false">(1+Eingaben!$C$17)^19</f>
        <v>1.4568111725278</v>
      </c>
      <c r="G27" s="42" t="n">
        <f aca="false">IF(B27&gt;=Eingaben!$C$9,Eingaben!$C$10,1)</f>
        <v>0.6</v>
      </c>
      <c r="H27" s="43" t="n">
        <f aca="false">Eingaben!$C$12*E27*G27*C27</f>
        <v>71939.2583542124</v>
      </c>
      <c r="I27" s="43" t="n">
        <f aca="false">Parameter!$C$4*E27</f>
        <v>162103.128824825</v>
      </c>
      <c r="J27" s="43" t="n">
        <f aca="false">Parameter!$C$5*E27</f>
        <v>111505.850449029</v>
      </c>
      <c r="K27" s="43" t="n">
        <f aca="false">MIN(H27,12*(IF(Eingaben!$C$22=2,Umrechnung!$C$54,Eingaben!$C$23))*IF(Eingaben!$C$25=1,E27,1))*C27</f>
        <v>5755.140668337</v>
      </c>
      <c r="L27" s="43" t="n">
        <f aca="false">MIN(K27,MAX(0,Parameter!$C$42*I27-N27))</f>
        <v>5755.140668337</v>
      </c>
      <c r="M27" s="43" t="n">
        <f aca="false">MIN(K27,Parameter!$C$43*I27)</f>
        <v>5755.140668337</v>
      </c>
      <c r="N27" s="43" t="n">
        <f aca="false">IF(Eingaben!$C$27=2,MIN(Eingaben!$C$26*K27,U27),Eingaben!$C$26*IF(Eingaben!$C$27=1,M27,K27))</f>
        <v>863.271100250549</v>
      </c>
      <c r="O27" s="43" t="n">
        <f aca="false">K27+N27</f>
        <v>6618.41176858754</v>
      </c>
      <c r="P27" s="43" t="n">
        <f aca="false">MIN(O27,Parameter!$C$42*I27)</f>
        <v>6618.41176858754</v>
      </c>
      <c r="Q27" s="43" t="n">
        <f aca="false">O27-P27</f>
        <v>0</v>
      </c>
      <c r="R27" s="43" t="n">
        <f aca="false">MIN(H27,I27)-MIN(H27-M27,I27)</f>
        <v>5755.140668337</v>
      </c>
      <c r="S27" s="43" t="n">
        <f aca="false">MIN(H27,J27)-MIN(H27-M27,J27)</f>
        <v>5755.140668337</v>
      </c>
      <c r="T27" s="43" t="n">
        <f aca="false">R27*(Parameter!$C$10+Parameter!$C$11)+S27*((Parameter!$C$12+Parameter!$C$13)/2+Parameter!$C$58)</f>
        <v>1217.21225135328</v>
      </c>
      <c r="U27" s="43" t="n">
        <f aca="false">R27*(Parameter!$C$10+Parameter!$C$11)+S27*((Parameter!$C$12+Parameter!$C$13)/2+Parameter!$C$15)</f>
        <v>1217.21225135328</v>
      </c>
      <c r="V27" s="43" t="n">
        <f aca="false">MIN(H27,I27)*Parameter!$C$10+MIN(H27,J27)*(0.96*(Parameter!$C$12+Parameter!$C$13)/2+Parameter!$C$58)</f>
        <v>14028.1553790714</v>
      </c>
      <c r="W27" s="43" t="n">
        <f aca="false">MIN(H27-M27,I27)*Parameter!$C$10+MIN(H27-M27,J27)*(0.96*(Parameter!$C$12+Parameter!$C$13)/2+Parameter!$C$58)</f>
        <v>12905.9029487457</v>
      </c>
      <c r="X27" s="43" t="n">
        <f aca="false">MAX(0,H27-Parameter!$C$32*F27-Parameter!$C$33-V27)</f>
        <v>56083.2252329318</v>
      </c>
      <c r="Y27" s="43" t="n">
        <f aca="false">MAX(0,H27-L27-Parameter!$C$32*F27-Parameter!$C$33-W27)</f>
        <v>51450.3369949205</v>
      </c>
      <c r="Z27" s="43" t="n">
        <f aca="false">MAX(0,(X27+IF(Eingaben!$C$14=3,Eingaben!$C$15,0))/Parameter!$C$57/F27)</f>
        <v>38497.2509070057</v>
      </c>
      <c r="AA27" s="43" t="n">
        <f aca="false">Parameter!$C$57*F27*(IF(Z27&lt;=Parameter!$C$18,0,IF(Z27&lt;=Parameter!$C$19,(Parameter!$C$22*(Z27-Parameter!$C$18)/10000+Parameter!$C$23)*(Z27-Parameter!$C$18)/10000,IF(Z27&lt;=Parameter!$C$20,(Parameter!$C$24*(Z27-Parameter!$C$19)/10000+Parameter!$C$25)*(Z27-Parameter!$C$19)/10000+Parameter!$C$26,IF(Z27&lt;=Parameter!$C$21,0.42*Z27-Parameter!$C$27,0.45*Z27-Parameter!$C$28)))))</f>
        <v>9815.74834147809</v>
      </c>
      <c r="AB27" s="43" t="n">
        <f aca="false">AA27+IF(AA27&lt;=(Parameter!$C$30*Parameter!$C$57*F27),0,MIN(Parameter!$C$29*AA27,Parameter!$C$31*(AA27-(Parameter!$C$30*Parameter!$C$57*F27))))+Eingaben!$C$16*AA27</f>
        <v>9815.74834147809</v>
      </c>
      <c r="AC27" s="43" t="n">
        <f aca="false">MAX(0,(Y27+IF(Eingaben!$C$14=3,Eingaben!$C$15,0))/Parameter!$C$57/F27)</f>
        <v>35317.0939138571</v>
      </c>
      <c r="AD27" s="43" t="n">
        <f aca="false">Parameter!$C$57*F27*(IF(AC27&lt;=Parameter!$C$18,0,IF(AC27&lt;=Parameter!$C$19,(Parameter!$C$22*(AC27-Parameter!$C$18)/10000+Parameter!$C$23)*(AC27-Parameter!$C$18)/10000,IF(AC27&lt;=Parameter!$C$20,(Parameter!$C$24*(AC27-Parameter!$C$19)/10000+Parameter!$C$25)*(AC27-Parameter!$C$19)/10000+Parameter!$C$26,IF(AC27&lt;=Parameter!$C$21,0.42*AC27-Parameter!$C$27,0.45*AC27-Parameter!$C$28)))))</f>
        <v>8398.76792462515</v>
      </c>
      <c r="AE27" s="43" t="n">
        <f aca="false">AD27+IF(AD27&lt;=(Parameter!$C$30*Parameter!$C$57*F27),0,MIN(Parameter!$C$29*AD27,Parameter!$C$31*(AD27-(Parameter!$C$30*Parameter!$C$57*F27))))+Eingaben!$C$16*AD27</f>
        <v>8398.76792462515</v>
      </c>
      <c r="AF27" s="43" t="n">
        <f aca="false">AB27-AE27</f>
        <v>1416.98041685294</v>
      </c>
      <c r="AG27" s="43" t="n">
        <f aca="false">MAX(0,K27-T27-AF27)</f>
        <v>3120.94800013078</v>
      </c>
      <c r="AH27" s="43" t="n">
        <f aca="false">MIN(AG27,Parameter!$C$49)</f>
        <v>3120.94800013078</v>
      </c>
      <c r="AI27" s="43" t="n">
        <f aca="false">Parameter!$C$44*MIN(AH27,Parameter!$C$45)+Parameter!$C$46*MAX(0,MIN(AH27,Parameter!$C$47)-Parameter!$C$45)</f>
        <v>540</v>
      </c>
      <c r="AJ27" s="43" t="n">
        <f aca="false">MIN(AH27,Parameter!$C$48)*Eingaben!$C$18*IF(19&lt;Eingaben!$C$19,1,0)</f>
        <v>0</v>
      </c>
      <c r="AK27" s="43" t="n">
        <f aca="false">MIN(AI27+AJ27,MAX(0,Parameter!$C$49-AH27))</f>
        <v>540</v>
      </c>
      <c r="AL27" s="43" t="n">
        <f aca="false">MIN(MIN(AH27,Parameter!$C$47)+AK27,Parameter!$C$50)</f>
        <v>2340</v>
      </c>
      <c r="AM27" s="43" t="n">
        <f aca="false">MAX(0,X27-AL27)</f>
        <v>53743.2252329318</v>
      </c>
      <c r="AN27" s="43" t="n">
        <f aca="false">MAX(0,(AM27+IF(Eingaben!$C$14=3,Eingaben!$C$15,0))/Parameter!$C$57/F27)</f>
        <v>36891.0029291434</v>
      </c>
      <c r="AO27" s="43" t="n">
        <f aca="false">Parameter!$C$57*F27*(IF(AN27&lt;=Parameter!$C$18,0,IF(AN27&lt;=Parameter!$C$19,(Parameter!$C$22*(AN27-Parameter!$C$18)/10000+Parameter!$C$23)*(AN27-Parameter!$C$18)/10000,IF(AN27&lt;=Parameter!$C$20,(Parameter!$C$24*(AN27-Parameter!$C$19)/10000+Parameter!$C$25)*(AN27-Parameter!$C$19)/10000+Parameter!$C$26,IF(AN27&lt;=Parameter!$C$21,0.42*AN27-Parameter!$C$27,0.45*AN27-Parameter!$C$28)))))</f>
        <v>9093.67832670461</v>
      </c>
      <c r="AP27" s="43" t="n">
        <f aca="false">AO27+IF(AO27&lt;=(Parameter!$C$30*Parameter!$C$57*F27),0,MIN(Parameter!$C$29*AO27,Parameter!$C$31*(AO27-(Parameter!$C$30*Parameter!$C$57*F27))))+Eingaben!$C$16*AO27</f>
        <v>9093.67832670461</v>
      </c>
      <c r="AQ27" s="43" t="n">
        <f aca="false">AB27-AP27</f>
        <v>722.070014773473</v>
      </c>
      <c r="AR27" s="43" t="n">
        <f aca="false">MAX(0,AQ27-AK27)</f>
        <v>182.070014773473</v>
      </c>
      <c r="AS27" s="43" t="n">
        <f aca="false">MIN(AH27,Parameter!$C$47)+AK27</f>
        <v>2340</v>
      </c>
      <c r="AT27" s="43" t="n">
        <f aca="false">MAX(0,AH27-Parameter!$C$47)+AR26</f>
        <v>1501.31299095224</v>
      </c>
      <c r="AU27" s="43" t="n">
        <f aca="false">MAX(0,AG27-Parameter!$C$49)</f>
        <v>0</v>
      </c>
      <c r="AV27" s="43" t="n">
        <f aca="false">AG27</f>
        <v>3120.94800013078</v>
      </c>
      <c r="AW27" s="43" t="n">
        <f aca="false">IF(D27=0,AW26,AW26*(1+Parameter!$C$60)+P27*(1+Parameter!$C$60)^0.5)</f>
        <v>193012.338914397</v>
      </c>
      <c r="AX27" s="43" t="n">
        <f aca="false">IF(D27=0,AX26,AX26*(1+Parameter!$C$60)+Q27*(1+Parameter!$C$60)^0.5)</f>
        <v>0</v>
      </c>
      <c r="AY27" s="43" t="n">
        <f aca="false">IF(D27=0,AY26,AY26*(1+Parameter!$C$61)+AS27*(1+Parameter!$C$61)^0.5)</f>
        <v>93757.4049843031</v>
      </c>
      <c r="AZ27" s="43" t="n">
        <f aca="false">IF(D27=0,AZ26,AZ26*(1+Parameter!$C$61)+AT27*(1+Parameter!$C$61)^0.5)</f>
        <v>35720.4954612133</v>
      </c>
      <c r="BA27" s="43" t="n">
        <f aca="false">IF(D27=0,BA26,BA26*(1+Parameter!$C$62)+AU27*(1+Parameter!$C$62)^0.5-BD27)</f>
        <v>0</v>
      </c>
      <c r="BB27" s="43" t="n">
        <f aca="false">IF(D27=0,BB26,BB26+AU27+BC27)</f>
        <v>0</v>
      </c>
      <c r="BC27" s="43" t="n">
        <f aca="false">MAX(0,MIN(BA26*(1+Parameter!$C$62)+AU27*(1+Parameter!$C$62)^0.5-BA26-AU27,BA26*Parameter!$C$39*Parameter!$C$40))</f>
        <v>0</v>
      </c>
      <c r="BD27" s="43" t="n">
        <f aca="false">MAX(0,BC27*(1-Parameter!$C$37)-Parameter!$C$67)*Parameter!$C$36</f>
        <v>0</v>
      </c>
      <c r="BE27" s="43" t="n">
        <f aca="false">IF(D27=0,BE26,BE26*(1+Parameter!$C$62)+AV27*(1+Parameter!$C$62)^0.5-BH27)</f>
        <v>98149.8720749249</v>
      </c>
      <c r="BF27" s="43" t="n">
        <f aca="false">IF(D27=0,BF26,BF26+AV27+BG27)</f>
        <v>65358.1046962066</v>
      </c>
      <c r="BG27" s="43" t="n">
        <f aca="false">MAX(0,MIN(BE26*(1+Parameter!$C$62)+AV27*(1+Parameter!$C$62)^0.5-BE26-AV27,BE26*Parameter!$C$39*Parameter!$C$40))</f>
        <v>1993.11310229414</v>
      </c>
      <c r="BH27" s="43" t="n">
        <f aca="false">MAX(0,BG27*(1-Parameter!$C$37)-Parameter!$C$67)*Parameter!$C$36</f>
        <v>104.228506511056</v>
      </c>
      <c r="BI27" s="41" t="n">
        <f aca="false">R27/(Parameter!$C$8*E27)</f>
        <v>0.0693054058216542</v>
      </c>
      <c r="BJ27" s="41" t="n">
        <f aca="false">BJ26+BI27</f>
        <v>1.38610811643308</v>
      </c>
    </row>
    <row r="28" customFormat="false" ht="15" hidden="false" customHeight="false" outlineLevel="0" collapsed="false">
      <c r="A28" s="30" t="n">
        <f aca="false">2026+20</f>
        <v>2046</v>
      </c>
      <c r="B28" s="30" t="n">
        <f aca="false">Eingaben!$C$5+20</f>
        <v>60</v>
      </c>
      <c r="C28" s="30" t="n">
        <f aca="false">IF(AND(B28&lt;Eingaben!$C$8,B28&lt;Eingaben!$C$6),1,0)</f>
        <v>1</v>
      </c>
      <c r="D28" s="30" t="n">
        <f aca="false">IF(B28&lt;Eingaben!$C$6,1,0)</f>
        <v>1</v>
      </c>
      <c r="E28" s="38" t="n">
        <f aca="false">(1+Eingaben!$C$13)^20</f>
        <v>1.63861644029039</v>
      </c>
      <c r="F28" s="38" t="n">
        <f aca="false">(1+Eingaben!$C$17)^20</f>
        <v>1.48594739597836</v>
      </c>
      <c r="G28" s="39" t="n">
        <f aca="false">IF(B28&gt;=Eingaben!$C$9,Eingaben!$C$10,1)</f>
        <v>0.6</v>
      </c>
      <c r="H28" s="40" t="n">
        <f aca="false">Eingaben!$C$12*E28*G28*C28</f>
        <v>73737.7398130677</v>
      </c>
      <c r="I28" s="40" t="n">
        <f aca="false">Parameter!$C$4*E28</f>
        <v>166155.707045446</v>
      </c>
      <c r="J28" s="40" t="n">
        <f aca="false">Parameter!$C$5*E28</f>
        <v>114293.496710255</v>
      </c>
      <c r="K28" s="40" t="n">
        <f aca="false">MIN(H28,12*(IF(Eingaben!$C$22=2,Umrechnung!$C$54,Eingaben!$C$23))*IF(Eingaben!$C$25=1,E28,1))*C28</f>
        <v>5899.01918504542</v>
      </c>
      <c r="L28" s="40" t="n">
        <f aca="false">MIN(K28,MAX(0,Parameter!$C$42*I28-N28))</f>
        <v>5899.01918504542</v>
      </c>
      <c r="M28" s="40" t="n">
        <f aca="false">MIN(K28,Parameter!$C$43*I28)</f>
        <v>5899.01918504542</v>
      </c>
      <c r="N28" s="40" t="n">
        <f aca="false">IF(Eingaben!$C$27=2,MIN(Eingaben!$C$26*K28,U28),Eingaben!$C$26*IF(Eingaben!$C$27=1,M28,K28))</f>
        <v>884.852877756813</v>
      </c>
      <c r="O28" s="40" t="n">
        <f aca="false">K28+N28</f>
        <v>6783.87206280223</v>
      </c>
      <c r="P28" s="40" t="n">
        <f aca="false">MIN(O28,Parameter!$C$42*I28)</f>
        <v>6783.87206280223</v>
      </c>
      <c r="Q28" s="40" t="n">
        <f aca="false">O28-P28</f>
        <v>0</v>
      </c>
      <c r="R28" s="40" t="n">
        <f aca="false">MIN(H28,I28)-MIN(H28-M28,I28)</f>
        <v>5899.01918504541</v>
      </c>
      <c r="S28" s="40" t="n">
        <f aca="false">MIN(H28,J28)-MIN(H28-M28,J28)</f>
        <v>5899.01918504541</v>
      </c>
      <c r="T28" s="40" t="n">
        <f aca="false">R28*(Parameter!$C$10+Parameter!$C$11)+S28*((Parameter!$C$12+Parameter!$C$13)/2+Parameter!$C$58)</f>
        <v>1247.64255763711</v>
      </c>
      <c r="U28" s="40" t="n">
        <f aca="false">R28*(Parameter!$C$10+Parameter!$C$11)+S28*((Parameter!$C$12+Parameter!$C$13)/2+Parameter!$C$15)</f>
        <v>1247.64255763711</v>
      </c>
      <c r="V28" s="40" t="n">
        <f aca="false">MIN(H28,I28)*Parameter!$C$10+MIN(H28,J28)*(0.96*(Parameter!$C$12+Parameter!$C$13)/2+Parameter!$C$58)</f>
        <v>14378.8592635482</v>
      </c>
      <c r="W28" s="40" t="n">
        <f aca="false">MIN(H28-M28,I28)*Parameter!$C$10+MIN(H28-M28,J28)*(0.96*(Parameter!$C$12+Parameter!$C$13)/2+Parameter!$C$58)</f>
        <v>13228.5505224644</v>
      </c>
      <c r="X28" s="40" t="n">
        <f aca="false">MAX(0,H28-Parameter!$C$32*F28-Parameter!$C$33-V28)</f>
        <v>57495.1652524662</v>
      </c>
      <c r="Y28" s="40" t="n">
        <f aca="false">MAX(0,H28-L28-Parameter!$C$32*F28-Parameter!$C$33-W28)</f>
        <v>52746.4548085046</v>
      </c>
      <c r="Z28" s="40" t="n">
        <f aca="false">MAX(0,(X28+IF(Eingaben!$C$14=3,Eingaben!$C$15,0))/Parameter!$C$57/F28)</f>
        <v>38692.5980072202</v>
      </c>
      <c r="AA28" s="40" t="n">
        <f aca="false">Parameter!$C$57*F28*(IF(Z28&lt;=Parameter!$C$18,0,IF(Z28&lt;=Parameter!$C$19,(Parameter!$C$22*(Z28-Parameter!$C$18)/10000+Parameter!$C$23)*(Z28-Parameter!$C$18)/10000,IF(Z28&lt;=Parameter!$C$20,(Parameter!$C$24*(Z28-Parameter!$C$19)/10000+Parameter!$C$25)*(Z28-Parameter!$C$19)/10000+Parameter!$C$26,IF(Z28&lt;=Parameter!$C$21,0.42*Z28-Parameter!$C$27,0.45*Z28-Parameter!$C$28)))))</f>
        <v>10102.5408772884</v>
      </c>
      <c r="AB28" s="40" t="n">
        <f aca="false">AA28+IF(AA28&lt;=(Parameter!$C$30*Parameter!$C$57*F28),0,MIN(Parameter!$C$29*AA28,Parameter!$C$31*(AA28-(Parameter!$C$30*Parameter!$C$57*F28))))+Eingaben!$C$16*AA28</f>
        <v>10102.5408772884</v>
      </c>
      <c r="AC28" s="40" t="n">
        <f aca="false">MAX(0,(Y28+IF(Eingaben!$C$14=3,Eingaben!$C$15,0))/Parameter!$C$57/F28)</f>
        <v>35496.8520092032</v>
      </c>
      <c r="AD28" s="40" t="n">
        <f aca="false">Parameter!$C$57*F28*(IF(AC28&lt;=Parameter!$C$18,0,IF(AC28&lt;=Parameter!$C$19,(Parameter!$C$22*(AC28-Parameter!$C$18)/10000+Parameter!$C$23)*(AC28-Parameter!$C$18)/10000,IF(AC28&lt;=Parameter!$C$20,(Parameter!$C$24*(AC28-Parameter!$C$19)/10000+Parameter!$C$25)*(AC28-Parameter!$C$19)/10000+Parameter!$C$26,IF(AC28&lt;=Parameter!$C$21,0.42*AC28-Parameter!$C$27,0.45*AC28-Parameter!$C$28)))))</f>
        <v>8647.05257863783</v>
      </c>
      <c r="AE28" s="40" t="n">
        <f aca="false">AD28+IF(AD28&lt;=(Parameter!$C$30*Parameter!$C$57*F28),0,MIN(Parameter!$C$29*AD28,Parameter!$C$31*(AD28-(Parameter!$C$30*Parameter!$C$57*F28))))+Eingaben!$C$16*AD28</f>
        <v>8647.05257863783</v>
      </c>
      <c r="AF28" s="40" t="n">
        <f aca="false">AB28-AE28</f>
        <v>1455.48829865059</v>
      </c>
      <c r="AG28" s="40" t="n">
        <f aca="false">MAX(0,K28-T28-AF28)</f>
        <v>3195.88832875773</v>
      </c>
      <c r="AH28" s="40" t="n">
        <f aca="false">MIN(AG28,Parameter!$C$49)</f>
        <v>3195.88832875773</v>
      </c>
      <c r="AI28" s="40" t="n">
        <f aca="false">Parameter!$C$44*MIN(AH28,Parameter!$C$45)+Parameter!$C$46*MAX(0,MIN(AH28,Parameter!$C$47)-Parameter!$C$45)</f>
        <v>540</v>
      </c>
      <c r="AJ28" s="40" t="n">
        <f aca="false">MIN(AH28,Parameter!$C$48)*Eingaben!$C$18*IF(20&lt;Eingaben!$C$19,1,0)</f>
        <v>0</v>
      </c>
      <c r="AK28" s="40" t="n">
        <f aca="false">MIN(AI28+AJ28,MAX(0,Parameter!$C$49-AH28))</f>
        <v>540</v>
      </c>
      <c r="AL28" s="40" t="n">
        <f aca="false">MIN(MIN(AH28,Parameter!$C$47)+AK28,Parameter!$C$50)</f>
        <v>2340</v>
      </c>
      <c r="AM28" s="40" t="n">
        <f aca="false">MAX(0,X28-AL28)</f>
        <v>55155.1652524662</v>
      </c>
      <c r="AN28" s="40" t="n">
        <f aca="false">MAX(0,(AM28+IF(Eingaben!$C$14=3,Eingaben!$C$15,0))/Parameter!$C$57/F28)</f>
        <v>37117.8450877474</v>
      </c>
      <c r="AO28" s="40" t="n">
        <f aca="false">Parameter!$C$57*F28*(IF(AN28&lt;=Parameter!$C$18,0,IF(AN28&lt;=Parameter!$C$19,(Parameter!$C$22*(AN28-Parameter!$C$18)/10000+Parameter!$C$23)*(AN28-Parameter!$C$18)/10000,IF(AN28&lt;=Parameter!$C$20,(Parameter!$C$24*(AN28-Parameter!$C$19)/10000+Parameter!$C$25)*(AN28-Parameter!$C$19)/10000+Parameter!$C$26,IF(AN28&lt;=Parameter!$C$21,0.42*AN28-Parameter!$C$27,0.45*AN28-Parameter!$C$28)))))</f>
        <v>9378.76076803452</v>
      </c>
      <c r="AP28" s="40" t="n">
        <f aca="false">AO28+IF(AO28&lt;=(Parameter!$C$30*Parameter!$C$57*F28),0,MIN(Parameter!$C$29*AO28,Parameter!$C$31*(AO28-(Parameter!$C$30*Parameter!$C$57*F28))))+Eingaben!$C$16*AO28</f>
        <v>9378.76076803452</v>
      </c>
      <c r="AQ28" s="40" t="n">
        <f aca="false">AB28-AP28</f>
        <v>723.780109253892</v>
      </c>
      <c r="AR28" s="40" t="n">
        <f aca="false">MAX(0,AQ28-AK28)</f>
        <v>183.780109253892</v>
      </c>
      <c r="AS28" s="40" t="n">
        <f aca="false">MIN(AH28,Parameter!$C$47)+AK28</f>
        <v>2340</v>
      </c>
      <c r="AT28" s="40" t="n">
        <f aca="false">MAX(0,AH28-Parameter!$C$47)+AR27</f>
        <v>1577.9583435312</v>
      </c>
      <c r="AU28" s="40" t="n">
        <f aca="false">MAX(0,AG28-Parameter!$C$49)</f>
        <v>0</v>
      </c>
      <c r="AV28" s="40" t="n">
        <f aca="false">AG28</f>
        <v>3195.88832875773</v>
      </c>
      <c r="AW28" s="40" t="n">
        <f aca="false">IF(D28=0,AW27,AW27*(1+Parameter!$C$60)+P28*(1+Parameter!$C$60)^0.5)</f>
        <v>212362.718122388</v>
      </c>
      <c r="AX28" s="40" t="n">
        <f aca="false">IF(D28=0,AX27,AX27*(1+Parameter!$C$60)+Q28*(1+Parameter!$C$60)^0.5)</f>
        <v>0</v>
      </c>
      <c r="AY28" s="40" t="n">
        <f aca="false">IF(D28=0,AY27,AY27*(1+Parameter!$C$61)+AS28*(1+Parameter!$C$61)^0.5)</f>
        <v>102266.489098827</v>
      </c>
      <c r="AZ28" s="40" t="n">
        <f aca="false">IF(D28=0,AZ27,AZ27*(1+Parameter!$C$61)+AT28*(1+Parameter!$C$61)^0.5)</f>
        <v>39670.7623282601</v>
      </c>
      <c r="BA28" s="40" t="n">
        <f aca="false">IF(D28=0,BA27,BA27*(1+Parameter!$C$62)+AU28*(1+Parameter!$C$62)^0.5-BD28)</f>
        <v>0</v>
      </c>
      <c r="BB28" s="40" t="n">
        <f aca="false">IF(D28=0,BB27,BB27+AU28+BC28)</f>
        <v>0</v>
      </c>
      <c r="BC28" s="40" t="n">
        <f aca="false">MAX(0,MIN(BA27*(1+Parameter!$C$62)+AU28*(1+Parameter!$C$62)^0.5-BA27-AU28,BA27*Parameter!$C$39*Parameter!$C$40))</f>
        <v>0</v>
      </c>
      <c r="BD28" s="40" t="n">
        <f aca="false">MAX(0,BC28*(1-Parameter!$C$37)-Parameter!$C$67)*Parameter!$C$36</f>
        <v>0</v>
      </c>
      <c r="BE28" s="40" t="n">
        <f aca="false">IF(D28=0,BE27,BE27*(1+Parameter!$C$62)+AV28*(1+Parameter!$C$62)^0.5-BH28)</f>
        <v>107984.666330812</v>
      </c>
      <c r="BF28" s="40" t="n">
        <f aca="false">IF(D28=0,BF27,BF27+AV28+BG28)</f>
        <v>70752.5501594427</v>
      </c>
      <c r="BG28" s="40" t="n">
        <f aca="false">MAX(0,MIN(BE27*(1+Parameter!$C$62)+AV28*(1+Parameter!$C$62)^0.5-BE27-AV28,BE27*Parameter!$C$39*Parameter!$C$40))</f>
        <v>2198.55713447832</v>
      </c>
      <c r="BH28" s="40" t="n">
        <f aca="false">MAX(0,BG28*(1-Parameter!$C$37)-Parameter!$C$67)*Parameter!$C$36</f>
        <v>142.158610953059</v>
      </c>
      <c r="BI28" s="38" t="n">
        <f aca="false">R28/(Parameter!$C$8*E28)</f>
        <v>0.069305405821654</v>
      </c>
      <c r="BJ28" s="38" t="n">
        <f aca="false">BJ27+BI28</f>
        <v>1.45541352225474</v>
      </c>
    </row>
    <row r="29" customFormat="false" ht="15" hidden="false" customHeight="false" outlineLevel="0" collapsed="false">
      <c r="A29" s="32" t="n">
        <f aca="false">2026+21</f>
        <v>2047</v>
      </c>
      <c r="B29" s="32" t="n">
        <f aca="false">Eingaben!$C$5+21</f>
        <v>61</v>
      </c>
      <c r="C29" s="32" t="n">
        <f aca="false">IF(AND(B29&lt;Eingaben!$C$8,B29&lt;Eingaben!$C$6),1,0)</f>
        <v>1</v>
      </c>
      <c r="D29" s="32" t="n">
        <f aca="false">IF(B29&lt;Eingaben!$C$6,1,0)</f>
        <v>1</v>
      </c>
      <c r="E29" s="41" t="n">
        <f aca="false">(1+Eingaben!$C$13)^21</f>
        <v>1.67958185129765</v>
      </c>
      <c r="F29" s="41" t="n">
        <f aca="false">(1+Eingaben!$C$17)^21</f>
        <v>1.51566634389792</v>
      </c>
      <c r="G29" s="42" t="n">
        <f aca="false">IF(B29&gt;=Eingaben!$C$9,Eingaben!$C$10,1)</f>
        <v>0.6</v>
      </c>
      <c r="H29" s="43" t="n">
        <f aca="false">Eingaben!$C$12*E29*G29*C29</f>
        <v>75581.1833083944</v>
      </c>
      <c r="I29" s="43" t="n">
        <f aca="false">Parameter!$C$4*E29</f>
        <v>170309.599721582</v>
      </c>
      <c r="J29" s="43" t="n">
        <f aca="false">Parameter!$C$5*E29</f>
        <v>117150.834128011</v>
      </c>
      <c r="K29" s="43" t="n">
        <f aca="false">MIN(H29,12*(IF(Eingaben!$C$22=2,Umrechnung!$C$54,Eingaben!$C$23))*IF(Eingaben!$C$25=1,E29,1))*C29</f>
        <v>6046.49466467156</v>
      </c>
      <c r="L29" s="43" t="n">
        <f aca="false">MIN(K29,MAX(0,Parameter!$C$42*I29-N29))</f>
        <v>6046.49466467156</v>
      </c>
      <c r="M29" s="43" t="n">
        <f aca="false">MIN(K29,Parameter!$C$43*I29)</f>
        <v>6046.49466467156</v>
      </c>
      <c r="N29" s="43" t="n">
        <f aca="false">IF(Eingaben!$C$27=2,MIN(Eingaben!$C$26*K29,U29),Eingaben!$C$26*IF(Eingaben!$C$27=1,M29,K29))</f>
        <v>906.974199700733</v>
      </c>
      <c r="O29" s="43" t="n">
        <f aca="false">K29+N29</f>
        <v>6953.46886437229</v>
      </c>
      <c r="P29" s="43" t="n">
        <f aca="false">MIN(O29,Parameter!$C$42*I29)</f>
        <v>6953.46886437229</v>
      </c>
      <c r="Q29" s="43" t="n">
        <f aca="false">O29-P29</f>
        <v>0</v>
      </c>
      <c r="R29" s="43" t="n">
        <f aca="false">MIN(H29,I29)-MIN(H29-M29,I29)</f>
        <v>6046.49466467155</v>
      </c>
      <c r="S29" s="43" t="n">
        <f aca="false">MIN(H29,J29)-MIN(H29-M29,J29)</f>
        <v>6046.49466467155</v>
      </c>
      <c r="T29" s="43" t="n">
        <f aca="false">R29*(Parameter!$C$10+Parameter!$C$11)+S29*((Parameter!$C$12+Parameter!$C$13)/2+Parameter!$C$58)</f>
        <v>1278.83362157803</v>
      </c>
      <c r="U29" s="43" t="n">
        <f aca="false">R29*(Parameter!$C$10+Parameter!$C$11)+S29*((Parameter!$C$12+Parameter!$C$13)/2+Parameter!$C$15)</f>
        <v>1278.83362157803</v>
      </c>
      <c r="V29" s="43" t="n">
        <f aca="false">MIN(H29,I29)*Parameter!$C$10+MIN(H29,J29)*(0.96*(Parameter!$C$12+Parameter!$C$13)/2+Parameter!$C$58)</f>
        <v>14738.3307451369</v>
      </c>
      <c r="W29" s="43" t="n">
        <f aca="false">MIN(H29-M29,I29)*Parameter!$C$10+MIN(H29-M29,J29)*(0.96*(Parameter!$C$12+Parameter!$C$13)/2+Parameter!$C$58)</f>
        <v>13559.264285526</v>
      </c>
      <c r="X29" s="43" t="n">
        <f aca="false">MAX(0,H29-Parameter!$C$32*F29-Parameter!$C$33-V29)</f>
        <v>58942.5829602631</v>
      </c>
      <c r="Y29" s="43" t="n">
        <f aca="false">MAX(0,H29-L29-Parameter!$C$32*F29-Parameter!$C$33-W29)</f>
        <v>54075.1547552025</v>
      </c>
      <c r="Z29" s="43" t="n">
        <f aca="false">MAX(0,(X29+IF(Eingaben!$C$14=3,Eingaben!$C$15,0))/Parameter!$C$57/F29)</f>
        <v>38888.8908152946</v>
      </c>
      <c r="AA29" s="43" t="n">
        <f aca="false">Parameter!$C$57*F29*(IF(Z29&lt;=Parameter!$C$18,0,IF(Z29&lt;=Parameter!$C$19,(Parameter!$C$22*(Z29-Parameter!$C$18)/10000+Parameter!$C$23)*(Z29-Parameter!$C$18)/10000,IF(Z29&lt;=Parameter!$C$20,(Parameter!$C$24*(Z29-Parameter!$C$19)/10000+Parameter!$C$25)*(Z29-Parameter!$C$19)/10000+Parameter!$C$26,IF(Z29&lt;=Parameter!$C$21,0.42*Z29-Parameter!$C$27,0.45*Z29-Parameter!$C$28)))))</f>
        <v>10397.5272860673</v>
      </c>
      <c r="AB29" s="43" t="n">
        <f aca="false">AA29+IF(AA29&lt;=(Parameter!$C$30*Parameter!$C$57*F29),0,MIN(Parameter!$C$29*AA29,Parameter!$C$31*(AA29-(Parameter!$C$30*Parameter!$C$57*F29))))+Eingaben!$C$16*AA29</f>
        <v>10397.5272860673</v>
      </c>
      <c r="AC29" s="43" t="n">
        <f aca="false">MAX(0,(Y29+IF(Eingaben!$C$14=3,Eingaben!$C$15,0))/Parameter!$C$57/F29)</f>
        <v>35677.4793957187</v>
      </c>
      <c r="AD29" s="43" t="n">
        <f aca="false">Parameter!$C$57*F29*(IF(AC29&lt;=Parameter!$C$18,0,IF(AC29&lt;=Parameter!$C$19,(Parameter!$C$22*(AC29-Parameter!$C$18)/10000+Parameter!$C$23)*(AC29-Parameter!$C$18)/10000,IF(AC29&lt;=Parameter!$C$20,(Parameter!$C$24*(AC29-Parameter!$C$19)/10000+Parameter!$C$25)*(AC29-Parameter!$C$19)/10000+Parameter!$C$26,IF(AC29&lt;=Parameter!$C$21,0.42*AC29-Parameter!$C$27,0.45*AC29-Parameter!$C$28)))))</f>
        <v>8902.47603198238</v>
      </c>
      <c r="AE29" s="43" t="n">
        <f aca="false">AD29+IF(AD29&lt;=(Parameter!$C$30*Parameter!$C$57*F29),0,MIN(Parameter!$C$29*AD29,Parameter!$C$31*(AD29-(Parameter!$C$30*Parameter!$C$57*F29))))+Eingaben!$C$16*AD29</f>
        <v>8902.47603198238</v>
      </c>
      <c r="AF29" s="43" t="n">
        <f aca="false">AB29-AE29</f>
        <v>1495.05125408497</v>
      </c>
      <c r="AG29" s="43" t="n">
        <f aca="false">MAX(0,K29-T29-AF29)</f>
        <v>3272.60978900855</v>
      </c>
      <c r="AH29" s="43" t="n">
        <f aca="false">MIN(AG29,Parameter!$C$49)</f>
        <v>3272.60978900855</v>
      </c>
      <c r="AI29" s="43" t="n">
        <f aca="false">Parameter!$C$44*MIN(AH29,Parameter!$C$45)+Parameter!$C$46*MAX(0,MIN(AH29,Parameter!$C$47)-Parameter!$C$45)</f>
        <v>540</v>
      </c>
      <c r="AJ29" s="43" t="n">
        <f aca="false">MIN(AH29,Parameter!$C$48)*Eingaben!$C$18*IF(21&lt;Eingaben!$C$19,1,0)</f>
        <v>0</v>
      </c>
      <c r="AK29" s="43" t="n">
        <f aca="false">MIN(AI29+AJ29,MAX(0,Parameter!$C$49-AH29))</f>
        <v>540</v>
      </c>
      <c r="AL29" s="43" t="n">
        <f aca="false">MIN(MIN(AH29,Parameter!$C$47)+AK29,Parameter!$C$50)</f>
        <v>2340</v>
      </c>
      <c r="AM29" s="43" t="n">
        <f aca="false">MAX(0,X29-AL29)</f>
        <v>56602.5829602631</v>
      </c>
      <c r="AN29" s="43" t="n">
        <f aca="false">MAX(0,(AM29+IF(Eingaben!$C$14=3,Eingaben!$C$15,0))/Parameter!$C$57/F29)</f>
        <v>37345.0154040467</v>
      </c>
      <c r="AO29" s="43" t="n">
        <f aca="false">Parameter!$C$57*F29*(IF(AN29&lt;=Parameter!$C$18,0,IF(AN29&lt;=Parameter!$C$19,(Parameter!$C$22*(AN29-Parameter!$C$18)/10000+Parameter!$C$23)*(AN29-Parameter!$C$18)/10000,IF(AN29&lt;=Parameter!$C$20,(Parameter!$C$24*(AN29-Parameter!$C$19)/10000+Parameter!$C$25)*(AN29-Parameter!$C$19)/10000+Parameter!$C$26,IF(AN29&lt;=Parameter!$C$21,0.42*AN29-Parameter!$C$27,0.45*AN29-Parameter!$C$28)))))</f>
        <v>9672.03192248966</v>
      </c>
      <c r="AP29" s="43" t="n">
        <f aca="false">AO29+IF(AO29&lt;=(Parameter!$C$30*Parameter!$C$57*F29),0,MIN(Parameter!$C$29*AO29,Parameter!$C$31*(AO29-(Parameter!$C$30*Parameter!$C$57*F29))))+Eingaben!$C$16*AO29</f>
        <v>9672.03192248966</v>
      </c>
      <c r="AQ29" s="43" t="n">
        <f aca="false">AB29-AP29</f>
        <v>725.495363577691</v>
      </c>
      <c r="AR29" s="43" t="n">
        <f aca="false">MAX(0,AQ29-AK29)</f>
        <v>185.495363577691</v>
      </c>
      <c r="AS29" s="43" t="n">
        <f aca="false">MIN(AH29,Parameter!$C$47)+AK29</f>
        <v>2340</v>
      </c>
      <c r="AT29" s="43" t="n">
        <f aca="false">MAX(0,AH29-Parameter!$C$47)+AR28</f>
        <v>1656.38989826245</v>
      </c>
      <c r="AU29" s="43" t="n">
        <f aca="false">MAX(0,AG29-Parameter!$C$49)</f>
        <v>0</v>
      </c>
      <c r="AV29" s="43" t="n">
        <f aca="false">AG29</f>
        <v>3272.60978900855</v>
      </c>
      <c r="AW29" s="43" t="n">
        <f aca="false">IF(D29=0,AW28,AW28*(1+Parameter!$C$60)+P29*(1+Parameter!$C$60)^0.5)</f>
        <v>233126.461337626</v>
      </c>
      <c r="AX29" s="43" t="n">
        <f aca="false">IF(D29=0,AX28,AX28*(1+Parameter!$C$60)+Q29*(1+Parameter!$C$60)^0.5)</f>
        <v>0</v>
      </c>
      <c r="AY29" s="43" t="n">
        <f aca="false">IF(D29=0,AY28,AY28*(1+Parameter!$C$61)+AS29*(1+Parameter!$C$61)^0.5)</f>
        <v>111328.663680795</v>
      </c>
      <c r="AZ29" s="43" t="n">
        <f aca="false">IF(D29=0,AZ28,AZ28*(1+Parameter!$C$61)+AT29*(1+Parameter!$C$61)^0.5)</f>
        <v>43958.7369941477</v>
      </c>
      <c r="BA29" s="43" t="n">
        <f aca="false">IF(D29=0,BA28,BA28*(1+Parameter!$C$62)+AU29*(1+Parameter!$C$62)^0.5-BD29)</f>
        <v>0</v>
      </c>
      <c r="BB29" s="43" t="n">
        <f aca="false">IF(D29=0,BB28,BB28+AU29+BC29)</f>
        <v>0</v>
      </c>
      <c r="BC29" s="43" t="n">
        <f aca="false">MAX(0,MIN(BA28*(1+Parameter!$C$62)+AU29*(1+Parameter!$C$62)^0.5-BA28-AU29,BA28*Parameter!$C$39*Parameter!$C$40))</f>
        <v>0</v>
      </c>
      <c r="BD29" s="43" t="n">
        <f aca="false">MAX(0,BC29*(1-Parameter!$C$37)-Parameter!$C$67)*Parameter!$C$36</f>
        <v>0</v>
      </c>
      <c r="BE29" s="43" t="n">
        <f aca="false">IF(D29=0,BE28,BE28*(1+Parameter!$C$62)+AV29*(1+Parameter!$C$62)^0.5-BH29)</f>
        <v>118526.840912424</v>
      </c>
      <c r="BF29" s="43" t="n">
        <f aca="false">IF(D29=0,BF28,BF28+AV29+BG29)</f>
        <v>76444.0164742614</v>
      </c>
      <c r="BG29" s="43" t="n">
        <f aca="false">MAX(0,MIN(BE28*(1+Parameter!$C$62)+AV29*(1+Parameter!$C$62)^0.5-BE28-AV29,BE28*Parameter!$C$39*Parameter!$C$40))</f>
        <v>2418.85652581018</v>
      </c>
      <c r="BH29" s="43" t="n">
        <f aca="false">MAX(0,BG29*(1-Parameter!$C$37)-Parameter!$C$67)*Parameter!$C$36</f>
        <v>182.831386077705</v>
      </c>
      <c r="BI29" s="41" t="n">
        <f aca="false">R29/(Parameter!$C$8*E29)</f>
        <v>0.0693054058216541</v>
      </c>
      <c r="BJ29" s="41" t="n">
        <f aca="false">BJ28+BI29</f>
        <v>1.52471892807639</v>
      </c>
    </row>
    <row r="30" customFormat="false" ht="15" hidden="false" customHeight="false" outlineLevel="0" collapsed="false">
      <c r="A30" s="30" t="n">
        <f aca="false">2026+22</f>
        <v>2048</v>
      </c>
      <c r="B30" s="30" t="n">
        <f aca="false">Eingaben!$C$5+22</f>
        <v>62</v>
      </c>
      <c r="C30" s="30" t="n">
        <f aca="false">IF(AND(B30&lt;Eingaben!$C$8,B30&lt;Eingaben!$C$6),1,0)</f>
        <v>1</v>
      </c>
      <c r="D30" s="30" t="n">
        <f aca="false">IF(B30&lt;Eingaben!$C$6,1,0)</f>
        <v>1</v>
      </c>
      <c r="E30" s="38" t="n">
        <f aca="false">(1+Eingaben!$C$13)^22</f>
        <v>1.7215713975801</v>
      </c>
      <c r="F30" s="38" t="n">
        <f aca="false">(1+Eingaben!$C$17)^22</f>
        <v>1.54597967077588</v>
      </c>
      <c r="G30" s="39" t="n">
        <f aca="false">IF(B30&gt;=Eingaben!$C$9,Eingaben!$C$10,1)</f>
        <v>0.6</v>
      </c>
      <c r="H30" s="40" t="n">
        <f aca="false">Eingaben!$C$12*E30*G30*C30</f>
        <v>77470.7128911043</v>
      </c>
      <c r="I30" s="40" t="n">
        <f aca="false">Parameter!$C$4*E30</f>
        <v>174567.339714622</v>
      </c>
      <c r="J30" s="40" t="n">
        <f aca="false">Parameter!$C$5*E30</f>
        <v>120079.604981212</v>
      </c>
      <c r="K30" s="40" t="n">
        <f aca="false">MIN(H30,12*(IF(Eingaben!$C$22=2,Umrechnung!$C$54,Eingaben!$C$23))*IF(Eingaben!$C$25=1,E30,1))*C30</f>
        <v>6197.65703128834</v>
      </c>
      <c r="L30" s="40" t="n">
        <f aca="false">MIN(K30,MAX(0,Parameter!$C$42*I30-N30))</f>
        <v>6197.65703128834</v>
      </c>
      <c r="M30" s="40" t="n">
        <f aca="false">MIN(K30,Parameter!$C$43*I30)</f>
        <v>6197.65703128834</v>
      </c>
      <c r="N30" s="40" t="n">
        <f aca="false">IF(Eingaben!$C$27=2,MIN(Eingaben!$C$26*K30,U30),Eingaben!$C$26*IF(Eingaben!$C$27=1,M30,K30))</f>
        <v>929.648554693251</v>
      </c>
      <c r="O30" s="40" t="n">
        <f aca="false">K30+N30</f>
        <v>7127.3055859816</v>
      </c>
      <c r="P30" s="40" t="n">
        <f aca="false">MIN(O30,Parameter!$C$42*I30)</f>
        <v>7127.3055859816</v>
      </c>
      <c r="Q30" s="40" t="n">
        <f aca="false">O30-P30</f>
        <v>0</v>
      </c>
      <c r="R30" s="40" t="n">
        <f aca="false">MIN(H30,I30)-MIN(H30-M30,I30)</f>
        <v>6197.65703128834</v>
      </c>
      <c r="S30" s="40" t="n">
        <f aca="false">MIN(H30,J30)-MIN(H30-M30,J30)</f>
        <v>6197.65703128834</v>
      </c>
      <c r="T30" s="40" t="n">
        <f aca="false">R30*(Parameter!$C$10+Parameter!$C$11)+S30*((Parameter!$C$12+Parameter!$C$13)/2+Parameter!$C$58)</f>
        <v>1310.80446211748</v>
      </c>
      <c r="U30" s="40" t="n">
        <f aca="false">R30*(Parameter!$C$10+Parameter!$C$11)+S30*((Parameter!$C$12+Parameter!$C$13)/2+Parameter!$C$15)</f>
        <v>1310.80446211748</v>
      </c>
      <c r="V30" s="40" t="n">
        <f aca="false">MIN(H30,I30)*Parameter!$C$10+MIN(H30,J30)*(0.96*(Parameter!$C$12+Parameter!$C$13)/2+Parameter!$C$58)</f>
        <v>15106.7890137653</v>
      </c>
      <c r="W30" s="40" t="n">
        <f aca="false">MIN(H30-M30,I30)*Parameter!$C$10+MIN(H30-M30,J30)*(0.96*(Parameter!$C$12+Parameter!$C$13)/2+Parameter!$C$58)</f>
        <v>13898.2458926641</v>
      </c>
      <c r="X30" s="40" t="n">
        <f aca="false">MAX(0,H30-Parameter!$C$32*F30-Parameter!$C$33-V30)</f>
        <v>60426.3688822846</v>
      </c>
      <c r="Y30" s="40" t="n">
        <f aca="false">MAX(0,H30-L30-Parameter!$C$32*F30-Parameter!$C$33-W30)</f>
        <v>55437.2549720975</v>
      </c>
      <c r="Z30" s="40" t="n">
        <f aca="false">MAX(0,(X30+IF(Eingaben!$C$14=3,Eingaben!$C$15,0))/Parameter!$C$57/F30)</f>
        <v>39086.1341999138</v>
      </c>
      <c r="AA30" s="40" t="n">
        <f aca="false">Parameter!$C$57*F30*(IF(Z30&lt;=Parameter!$C$18,0,IF(Z30&lt;=Parameter!$C$19,(Parameter!$C$22*(Z30-Parameter!$C$18)/10000+Parameter!$C$23)*(Z30-Parameter!$C$18)/10000,IF(Z30&lt;=Parameter!$C$20,(Parameter!$C$24*(Z30-Parameter!$C$19)/10000+Parameter!$C$25)*(Z30-Parameter!$C$19)/10000+Parameter!$C$26,IF(Z30&lt;=Parameter!$C$21,0.42*Z30-Parameter!$C$27,0.45*Z30-Parameter!$C$28)))))</f>
        <v>10700.9389147009</v>
      </c>
      <c r="AB30" s="40" t="n">
        <f aca="false">AA30+IF(AA30&lt;=(Parameter!$C$30*Parameter!$C$57*F30),0,MIN(Parameter!$C$29*AA30,Parameter!$C$31*(AA30-(Parameter!$C$30*Parameter!$C$57*F30))))+Eingaben!$C$16*AA30</f>
        <v>10700.9389147009</v>
      </c>
      <c r="AC30" s="40" t="n">
        <f aca="false">MAX(0,(Y30+IF(Eingaben!$C$14=3,Eingaben!$C$15,0))/Parameter!$C$57/F30)</f>
        <v>35858.9805674969</v>
      </c>
      <c r="AD30" s="40" t="n">
        <f aca="false">Parameter!$C$57*F30*(IF(AC30&lt;=Parameter!$C$18,0,IF(AC30&lt;=Parameter!$C$19,(Parameter!$C$22*(AC30-Parameter!$C$18)/10000+Parameter!$C$23)*(AC30-Parameter!$C$18)/10000,IF(AC30&lt;=Parameter!$C$20,(Parameter!$C$24*(AC30-Parameter!$C$19)/10000+Parameter!$C$25)*(AC30-Parameter!$C$19)/10000+Parameter!$C$26,IF(AC30&lt;=Parameter!$C$21,0.42*AC30-Parameter!$C$27,0.45*AC30-Parameter!$C$28)))))</f>
        <v>9165.24048212295</v>
      </c>
      <c r="AE30" s="40" t="n">
        <f aca="false">AD30+IF(AD30&lt;=(Parameter!$C$30*Parameter!$C$57*F30),0,MIN(Parameter!$C$29*AD30,Parameter!$C$31*(AD30-(Parameter!$C$30*Parameter!$C$57*F30))))+Eingaben!$C$16*AD30</f>
        <v>9165.24048212295</v>
      </c>
      <c r="AF30" s="40" t="n">
        <f aca="false">AB30-AE30</f>
        <v>1535.69843257791</v>
      </c>
      <c r="AG30" s="40" t="n">
        <f aca="false">MAX(0,K30-T30-AF30)</f>
        <v>3351.15413659295</v>
      </c>
      <c r="AH30" s="40" t="n">
        <f aca="false">MIN(AG30,Parameter!$C$49)</f>
        <v>3351.15413659295</v>
      </c>
      <c r="AI30" s="40" t="n">
        <f aca="false">Parameter!$C$44*MIN(AH30,Parameter!$C$45)+Parameter!$C$46*MAX(0,MIN(AH30,Parameter!$C$47)-Parameter!$C$45)</f>
        <v>540</v>
      </c>
      <c r="AJ30" s="40" t="n">
        <f aca="false">MIN(AH30,Parameter!$C$48)*Eingaben!$C$18*IF(22&lt;Eingaben!$C$19,1,0)</f>
        <v>0</v>
      </c>
      <c r="AK30" s="40" t="n">
        <f aca="false">MIN(AI30+AJ30,MAX(0,Parameter!$C$49-AH30))</f>
        <v>540</v>
      </c>
      <c r="AL30" s="40" t="n">
        <f aca="false">MIN(MIN(AH30,Parameter!$C$47)+AK30,Parameter!$C$50)</f>
        <v>2340</v>
      </c>
      <c r="AM30" s="40" t="n">
        <f aca="false">MAX(0,X30-AL30)</f>
        <v>58086.3688822846</v>
      </c>
      <c r="AN30" s="40" t="n">
        <f aca="false">MAX(0,(AM30+IF(Eingaben!$C$14=3,Eingaben!$C$15,0))/Parameter!$C$57/F30)</f>
        <v>37572.5308555531</v>
      </c>
      <c r="AO30" s="40" t="n">
        <f aca="false">Parameter!$C$57*F30*(IF(AN30&lt;=Parameter!$C$18,0,IF(AN30&lt;=Parameter!$C$19,(Parameter!$C$22*(AN30-Parameter!$C$18)/10000+Parameter!$C$23)*(AN30-Parameter!$C$18)/10000,IF(AN30&lt;=Parameter!$C$20,(Parameter!$C$24*(AN30-Parameter!$C$19)/10000+Parameter!$C$25)*(AN30-Parameter!$C$19)/10000+Parameter!$C$26,IF(AN30&lt;=Parameter!$C$21,0.42*AN30-Parameter!$C$27,0.45*AN30-Parameter!$C$28)))))</f>
        <v>9973.72304846708</v>
      </c>
      <c r="AP30" s="40" t="n">
        <f aca="false">AO30+IF(AO30&lt;=(Parameter!$C$30*Parameter!$C$57*F30),0,MIN(Parameter!$C$29*AO30,Parameter!$C$31*(AO30-(Parameter!$C$30*Parameter!$C$57*F30))))+Eingaben!$C$16*AO30</f>
        <v>9973.72304846708</v>
      </c>
      <c r="AQ30" s="40" t="n">
        <f aca="false">AB30-AP30</f>
        <v>727.215866233773</v>
      </c>
      <c r="AR30" s="40" t="n">
        <f aca="false">MAX(0,AQ30-AK30)</f>
        <v>187.215866233773</v>
      </c>
      <c r="AS30" s="40" t="n">
        <f aca="false">MIN(AH30,Parameter!$C$47)+AK30</f>
        <v>2340</v>
      </c>
      <c r="AT30" s="40" t="n">
        <f aca="false">MAX(0,AH30-Parameter!$C$47)+AR29</f>
        <v>1736.64950017064</v>
      </c>
      <c r="AU30" s="40" t="n">
        <f aca="false">MAX(0,AG30-Parameter!$C$49)</f>
        <v>0</v>
      </c>
      <c r="AV30" s="40" t="n">
        <f aca="false">AG30</f>
        <v>3351.15413659295</v>
      </c>
      <c r="AW30" s="40" t="n">
        <f aca="false">IF(D30=0,AW29,AW29*(1+Parameter!$C$60)+P30*(1+Parameter!$C$60)^0.5)</f>
        <v>255398.397350026</v>
      </c>
      <c r="AX30" s="40" t="n">
        <f aca="false">IF(D30=0,AX29,AX29*(1+Parameter!$C$60)+Q30*(1+Parameter!$C$60)^0.5)</f>
        <v>0</v>
      </c>
      <c r="AY30" s="40" t="n">
        <f aca="false">IF(D30=0,AY29,AY29*(1+Parameter!$C$61)+AS30*(1+Parameter!$C$61)^0.5)</f>
        <v>120979.879610591</v>
      </c>
      <c r="AZ30" s="40" t="n">
        <f aca="false">IF(D30=0,AZ29,AZ29*(1+Parameter!$C$61)+AT30*(1+Parameter!$C$61)^0.5)</f>
        <v>48608.2569892308</v>
      </c>
      <c r="BA30" s="40" t="n">
        <f aca="false">IF(D30=0,BA29,BA29*(1+Parameter!$C$62)+AU30*(1+Parameter!$C$62)^0.5-BD30)</f>
        <v>0</v>
      </c>
      <c r="BB30" s="40" t="n">
        <f aca="false">IF(D30=0,BB29,BB29+AU30+BC30)</f>
        <v>0</v>
      </c>
      <c r="BC30" s="40" t="n">
        <f aca="false">MAX(0,MIN(BA29*(1+Parameter!$C$62)+AU30*(1+Parameter!$C$62)^0.5-BA29-AU30,BA29*Parameter!$C$39*Parameter!$C$40))</f>
        <v>0</v>
      </c>
      <c r="BD30" s="40" t="n">
        <f aca="false">MAX(0,BC30*(1-Parameter!$C$37)-Parameter!$C$67)*Parameter!$C$36</f>
        <v>0</v>
      </c>
      <c r="BE30" s="40" t="n">
        <f aca="false">IF(D30=0,BE29,BE29*(1+Parameter!$C$62)+AV30*(1+Parameter!$C$62)^0.5-BH30)</f>
        <v>129823.456086079</v>
      </c>
      <c r="BF30" s="40" t="n">
        <f aca="false">IF(D30=0,BF29,BF29+AV30+BG30)</f>
        <v>82450.1718472926</v>
      </c>
      <c r="BG30" s="40" t="n">
        <f aca="false">MAX(0,MIN(BE29*(1+Parameter!$C$62)+AV30*(1+Parameter!$C$62)^0.5-BE29-AV30,BE29*Parameter!$C$39*Parameter!$C$40))</f>
        <v>2655.00123643829</v>
      </c>
      <c r="BH30" s="40" t="n">
        <f aca="false">MAX(0,BG30*(1-Parameter!$C$37)-Parameter!$C$67)*Parameter!$C$36</f>
        <v>226.429603277419</v>
      </c>
      <c r="BI30" s="38" t="n">
        <f aca="false">R30/(Parameter!$C$8*E30)</f>
        <v>0.0693054058216541</v>
      </c>
      <c r="BJ30" s="38" t="n">
        <f aca="false">BJ29+BI30</f>
        <v>1.59402433389804</v>
      </c>
    </row>
    <row r="31" customFormat="false" ht="15" hidden="false" customHeight="false" outlineLevel="0" collapsed="false">
      <c r="A31" s="32" t="n">
        <f aca="false">2026+23</f>
        <v>2049</v>
      </c>
      <c r="B31" s="32" t="n">
        <f aca="false">Eingaben!$C$5+23</f>
        <v>63</v>
      </c>
      <c r="C31" s="32" t="n">
        <f aca="false">IF(AND(B31&lt;Eingaben!$C$8,B31&lt;Eingaben!$C$6),1,0)</f>
        <v>0</v>
      </c>
      <c r="D31" s="32" t="n">
        <f aca="false">IF(B31&lt;Eingaben!$C$6,1,0)</f>
        <v>1</v>
      </c>
      <c r="E31" s="41" t="n">
        <f aca="false">(1+Eingaben!$C$13)^23</f>
        <v>1.7646106825196</v>
      </c>
      <c r="F31" s="41" t="n">
        <f aca="false">(1+Eingaben!$C$17)^23</f>
        <v>1.5768992641914</v>
      </c>
      <c r="G31" s="42" t="n">
        <f aca="false">IF(B31&gt;=Eingaben!$C$9,Eingaben!$C$10,1)</f>
        <v>0.6</v>
      </c>
      <c r="H31" s="43" t="n">
        <f aca="false">Eingaben!$C$12*E31*G31*C31</f>
        <v>0</v>
      </c>
      <c r="I31" s="43" t="n">
        <f aca="false">Parameter!$C$4*E31</f>
        <v>178931.523207487</v>
      </c>
      <c r="J31" s="43" t="n">
        <f aca="false">Parameter!$C$5*E31</f>
        <v>123081.595105742</v>
      </c>
      <c r="K31" s="43" t="n">
        <f aca="false">MIN(H31,12*(IF(Eingaben!$C$22=2,Umrechnung!$C$54,Eingaben!$C$23))*IF(Eingaben!$C$25=1,E31,1))*C31</f>
        <v>0</v>
      </c>
      <c r="L31" s="43" t="n">
        <f aca="false">MIN(K31,MAX(0,Parameter!$C$42*I31-N31))</f>
        <v>0</v>
      </c>
      <c r="M31" s="43" t="n">
        <f aca="false">MIN(K31,Parameter!$C$43*I31)</f>
        <v>0</v>
      </c>
      <c r="N31" s="43" t="n">
        <f aca="false">IF(Eingaben!$C$27=2,MIN(Eingaben!$C$26*K31,U31),Eingaben!$C$26*IF(Eingaben!$C$27=1,M31,K31))</f>
        <v>0</v>
      </c>
      <c r="O31" s="43" t="n">
        <f aca="false">K31+N31</f>
        <v>0</v>
      </c>
      <c r="P31" s="43" t="n">
        <f aca="false">MIN(O31,Parameter!$C$42*I31)</f>
        <v>0</v>
      </c>
      <c r="Q31" s="43" t="n">
        <f aca="false">O31-P31</f>
        <v>0</v>
      </c>
      <c r="R31" s="43" t="n">
        <f aca="false">MIN(H31,I31)-MIN(H31-M31,I31)</f>
        <v>0</v>
      </c>
      <c r="S31" s="43" t="n">
        <f aca="false">MIN(H31,J31)-MIN(H31-M31,J31)</f>
        <v>0</v>
      </c>
      <c r="T31" s="43" t="n">
        <f aca="false">R31*(Parameter!$C$10+Parameter!$C$11)+S31*((Parameter!$C$12+Parameter!$C$13)/2+Parameter!$C$58)</f>
        <v>0</v>
      </c>
      <c r="U31" s="43" t="n">
        <f aca="false">R31*(Parameter!$C$10+Parameter!$C$11)+S31*((Parameter!$C$12+Parameter!$C$13)/2+Parameter!$C$15)</f>
        <v>0</v>
      </c>
      <c r="V31" s="43" t="n">
        <f aca="false">MIN(H31,I31)*Parameter!$C$10+MIN(H31,J31)*(0.96*(Parameter!$C$12+Parameter!$C$13)/2+Parameter!$C$58)</f>
        <v>0</v>
      </c>
      <c r="W31" s="43" t="n">
        <f aca="false">MIN(H31-M31,I31)*Parameter!$C$10+MIN(H31-M31,J31)*(0.96*(Parameter!$C$12+Parameter!$C$13)/2+Parameter!$C$58)</f>
        <v>0</v>
      </c>
      <c r="X31" s="43" t="n">
        <f aca="false">MAX(0,H31-Parameter!$C$32*F31-Parameter!$C$33-V31)</f>
        <v>0</v>
      </c>
      <c r="Y31" s="43" t="n">
        <f aca="false">MAX(0,H31-L31-Parameter!$C$32*F31-Parameter!$C$33-W31)</f>
        <v>0</v>
      </c>
      <c r="Z31" s="43" t="n">
        <f aca="false">MAX(0,(X31+IF(Eingaben!$C$14=3,Eingaben!$C$15,0))/Parameter!$C$57/F31)</f>
        <v>0</v>
      </c>
      <c r="AA31" s="43" t="n">
        <f aca="false">Parameter!$C$57*F31*(IF(Z31&lt;=Parameter!$C$18,0,IF(Z31&lt;=Parameter!$C$19,(Parameter!$C$22*(Z31-Parameter!$C$18)/10000+Parameter!$C$23)*(Z31-Parameter!$C$18)/10000,IF(Z31&lt;=Parameter!$C$20,(Parameter!$C$24*(Z31-Parameter!$C$19)/10000+Parameter!$C$25)*(Z31-Parameter!$C$19)/10000+Parameter!$C$26,IF(Z31&lt;=Parameter!$C$21,0.42*Z31-Parameter!$C$27,0.45*Z31-Parameter!$C$28)))))</f>
        <v>0</v>
      </c>
      <c r="AB31" s="43" t="n">
        <f aca="false">AA31+IF(AA31&lt;=(Parameter!$C$30*Parameter!$C$57*F31),0,MIN(Parameter!$C$29*AA31,Parameter!$C$31*(AA31-(Parameter!$C$30*Parameter!$C$57*F31))))+Eingaben!$C$16*AA31</f>
        <v>0</v>
      </c>
      <c r="AC31" s="43" t="n">
        <f aca="false">MAX(0,(Y31+IF(Eingaben!$C$14=3,Eingaben!$C$15,0))/Parameter!$C$57/F31)</f>
        <v>0</v>
      </c>
      <c r="AD31" s="43" t="n">
        <f aca="false">Parameter!$C$57*F31*(IF(AC31&lt;=Parameter!$C$18,0,IF(AC31&lt;=Parameter!$C$19,(Parameter!$C$22*(AC31-Parameter!$C$18)/10000+Parameter!$C$23)*(AC31-Parameter!$C$18)/10000,IF(AC31&lt;=Parameter!$C$20,(Parameter!$C$24*(AC31-Parameter!$C$19)/10000+Parameter!$C$25)*(AC31-Parameter!$C$19)/10000+Parameter!$C$26,IF(AC31&lt;=Parameter!$C$21,0.42*AC31-Parameter!$C$27,0.45*AC31-Parameter!$C$28)))))</f>
        <v>0</v>
      </c>
      <c r="AE31" s="43" t="n">
        <f aca="false">AD31+IF(AD31&lt;=(Parameter!$C$30*Parameter!$C$57*F31),0,MIN(Parameter!$C$29*AD31,Parameter!$C$31*(AD31-(Parameter!$C$30*Parameter!$C$57*F31))))+Eingaben!$C$16*AD31</f>
        <v>0</v>
      </c>
      <c r="AF31" s="43" t="n">
        <f aca="false">AB31-AE31</f>
        <v>0</v>
      </c>
      <c r="AG31" s="43" t="n">
        <f aca="false">MAX(0,K31-T31-AF31)</f>
        <v>0</v>
      </c>
      <c r="AH31" s="43" t="n">
        <f aca="false">MIN(AG31,Parameter!$C$49)</f>
        <v>0</v>
      </c>
      <c r="AI31" s="43" t="n">
        <f aca="false">Parameter!$C$44*MIN(AH31,Parameter!$C$45)+Parameter!$C$46*MAX(0,MIN(AH31,Parameter!$C$47)-Parameter!$C$45)</f>
        <v>0</v>
      </c>
      <c r="AJ31" s="43" t="n">
        <f aca="false">MIN(AH31,Parameter!$C$48)*Eingaben!$C$18*IF(23&lt;Eingaben!$C$19,1,0)</f>
        <v>0</v>
      </c>
      <c r="AK31" s="43" t="n">
        <f aca="false">MIN(AI31+AJ31,MAX(0,Parameter!$C$49-AH31))</f>
        <v>0</v>
      </c>
      <c r="AL31" s="43" t="n">
        <f aca="false">MIN(MIN(AH31,Parameter!$C$47)+AK31,Parameter!$C$50)</f>
        <v>0</v>
      </c>
      <c r="AM31" s="43" t="n">
        <f aca="false">MAX(0,X31-AL31)</f>
        <v>0</v>
      </c>
      <c r="AN31" s="43" t="n">
        <f aca="false">MAX(0,(AM31+IF(Eingaben!$C$14=3,Eingaben!$C$15,0))/Parameter!$C$57/F31)</f>
        <v>0</v>
      </c>
      <c r="AO31" s="43" t="n">
        <f aca="false">Parameter!$C$57*F31*(IF(AN31&lt;=Parameter!$C$18,0,IF(AN31&lt;=Parameter!$C$19,(Parameter!$C$22*(AN31-Parameter!$C$18)/10000+Parameter!$C$23)*(AN31-Parameter!$C$18)/10000,IF(AN31&lt;=Parameter!$C$20,(Parameter!$C$24*(AN31-Parameter!$C$19)/10000+Parameter!$C$25)*(AN31-Parameter!$C$19)/10000+Parameter!$C$26,IF(AN31&lt;=Parameter!$C$21,0.42*AN31-Parameter!$C$27,0.45*AN31-Parameter!$C$28)))))</f>
        <v>0</v>
      </c>
      <c r="AP31" s="43" t="n">
        <f aca="false">AO31+IF(AO31&lt;=(Parameter!$C$30*Parameter!$C$57*F31),0,MIN(Parameter!$C$29*AO31,Parameter!$C$31*(AO31-(Parameter!$C$30*Parameter!$C$57*F31))))+Eingaben!$C$16*AO31</f>
        <v>0</v>
      </c>
      <c r="AQ31" s="43" t="n">
        <f aca="false">AB31-AP31</f>
        <v>0</v>
      </c>
      <c r="AR31" s="43" t="n">
        <f aca="false">MAX(0,AQ31-AK31)</f>
        <v>0</v>
      </c>
      <c r="AS31" s="43" t="n">
        <f aca="false">MIN(AH31,Parameter!$C$47)+AK31</f>
        <v>0</v>
      </c>
      <c r="AT31" s="43" t="n">
        <f aca="false">MAX(0,AH31-Parameter!$C$47)+AR30</f>
        <v>187.215866233773</v>
      </c>
      <c r="AU31" s="43" t="n">
        <f aca="false">MAX(0,AG31-Parameter!$C$49)</f>
        <v>0</v>
      </c>
      <c r="AV31" s="43" t="n">
        <f aca="false">AG31</f>
        <v>0</v>
      </c>
      <c r="AW31" s="43" t="n">
        <f aca="false">IF(D31=0,AW30,AW30*(1+Parameter!$C$60)+P31*(1+Parameter!$C$60)^0.5)</f>
        <v>271743.894780427</v>
      </c>
      <c r="AX31" s="43" t="n">
        <f aca="false">IF(D31=0,AX30,AX30*(1+Parameter!$C$60)+Q31*(1+Parameter!$C$60)^0.5)</f>
        <v>0</v>
      </c>
      <c r="AY31" s="43" t="n">
        <f aca="false">IF(D31=0,AY30,AY30*(1+Parameter!$C$61)+AS31*(1+Parameter!$C$61)^0.5)</f>
        <v>128843.57178528</v>
      </c>
      <c r="AZ31" s="43" t="n">
        <f aca="false">IF(D31=0,AZ30,AZ30*(1+Parameter!$C$61)+AT31*(1+Parameter!$C$61)^0.5)</f>
        <v>51960.9982905431</v>
      </c>
      <c r="BA31" s="43" t="n">
        <f aca="false">IF(D31=0,BA30,BA30*(1+Parameter!$C$62)+AU31*(1+Parameter!$C$62)^0.5-BD31)</f>
        <v>0</v>
      </c>
      <c r="BB31" s="43" t="n">
        <f aca="false">IF(D31=0,BB30,BB30+AU31+BC31)</f>
        <v>0</v>
      </c>
      <c r="BC31" s="43" t="n">
        <f aca="false">MAX(0,MIN(BA30*(1+Parameter!$C$62)+AU31*(1+Parameter!$C$62)^0.5-BA30-AU31,BA30*Parameter!$C$39*Parameter!$C$40))</f>
        <v>0</v>
      </c>
      <c r="BD31" s="43" t="n">
        <f aca="false">MAX(0,BC31*(1-Parameter!$C$37)-Parameter!$C$67)*Parameter!$C$36</f>
        <v>0</v>
      </c>
      <c r="BE31" s="43" t="n">
        <f aca="false">IF(D31=0,BE30,BE30*(1+Parameter!$C$62)+AV31*(1+Parameter!$C$62)^0.5-BH31)</f>
        <v>138378.303214942</v>
      </c>
      <c r="BF31" s="43" t="n">
        <f aca="false">IF(D31=0,BF30,BF30+AV31+BG31)</f>
        <v>85358.2172636208</v>
      </c>
      <c r="BG31" s="43" t="n">
        <f aca="false">MAX(0,MIN(BE30*(1+Parameter!$C$62)+AV31*(1+Parameter!$C$62)^0.5-BE30-AV31,BE30*Parameter!$C$39*Parameter!$C$40))</f>
        <v>2908.04541632816</v>
      </c>
      <c r="BH31" s="43" t="n">
        <f aca="false">MAX(0,BG31*(1-Parameter!$C$37)-Parameter!$C$67)*Parameter!$C$36</f>
        <v>273.147884989587</v>
      </c>
      <c r="BI31" s="41" t="n">
        <f aca="false">R31/(Parameter!$C$8*E31)</f>
        <v>0</v>
      </c>
      <c r="BJ31" s="41" t="n">
        <f aca="false">BJ30+BI31</f>
        <v>1.59402433389804</v>
      </c>
    </row>
    <row r="32" customFormat="false" ht="15" hidden="false" customHeight="false" outlineLevel="0" collapsed="false">
      <c r="A32" s="30" t="n">
        <f aca="false">2026+24</f>
        <v>2050</v>
      </c>
      <c r="B32" s="30" t="n">
        <f aca="false">Eingaben!$C$5+24</f>
        <v>64</v>
      </c>
      <c r="C32" s="30" t="n">
        <f aca="false">IF(AND(B32&lt;Eingaben!$C$8,B32&lt;Eingaben!$C$6),1,0)</f>
        <v>0</v>
      </c>
      <c r="D32" s="30" t="n">
        <f aca="false">IF(B32&lt;Eingaben!$C$6,1,0)</f>
        <v>1</v>
      </c>
      <c r="E32" s="38" t="n">
        <f aca="false">(1+Eingaben!$C$13)^24</f>
        <v>1.80872594958259</v>
      </c>
      <c r="F32" s="38" t="n">
        <f aca="false">(1+Eingaben!$C$17)^24</f>
        <v>1.60843724947523</v>
      </c>
      <c r="G32" s="39" t="n">
        <f aca="false">IF(B32&gt;=Eingaben!$C$9,Eingaben!$C$10,1)</f>
        <v>0.6</v>
      </c>
      <c r="H32" s="40" t="n">
        <f aca="false">Eingaben!$C$12*E32*G32*C32</f>
        <v>0</v>
      </c>
      <c r="I32" s="40" t="n">
        <f aca="false">Parameter!$C$4*E32</f>
        <v>183404.811287674</v>
      </c>
      <c r="J32" s="40" t="n">
        <f aca="false">Parameter!$C$5*E32</f>
        <v>126158.634983385</v>
      </c>
      <c r="K32" s="40" t="n">
        <f aca="false">MIN(H32,12*(IF(Eingaben!$C$22=2,Umrechnung!$C$54,Eingaben!$C$23))*IF(Eingaben!$C$25=1,E32,1))*C32</f>
        <v>0</v>
      </c>
      <c r="L32" s="40" t="n">
        <f aca="false">MIN(K32,MAX(0,Parameter!$C$42*I32-N32))</f>
        <v>0</v>
      </c>
      <c r="M32" s="40" t="n">
        <f aca="false">MIN(K32,Parameter!$C$43*I32)</f>
        <v>0</v>
      </c>
      <c r="N32" s="40" t="n">
        <f aca="false">IF(Eingaben!$C$27=2,MIN(Eingaben!$C$26*K32,U32),Eingaben!$C$26*IF(Eingaben!$C$27=1,M32,K32))</f>
        <v>0</v>
      </c>
      <c r="O32" s="40" t="n">
        <f aca="false">K32+N32</f>
        <v>0</v>
      </c>
      <c r="P32" s="40" t="n">
        <f aca="false">MIN(O32,Parameter!$C$42*I32)</f>
        <v>0</v>
      </c>
      <c r="Q32" s="40" t="n">
        <f aca="false">O32-P32</f>
        <v>0</v>
      </c>
      <c r="R32" s="40" t="n">
        <f aca="false">MIN(H32,I32)-MIN(H32-M32,I32)</f>
        <v>0</v>
      </c>
      <c r="S32" s="40" t="n">
        <f aca="false">MIN(H32,J32)-MIN(H32-M32,J32)</f>
        <v>0</v>
      </c>
      <c r="T32" s="40" t="n">
        <f aca="false">R32*(Parameter!$C$10+Parameter!$C$11)+S32*((Parameter!$C$12+Parameter!$C$13)/2+Parameter!$C$58)</f>
        <v>0</v>
      </c>
      <c r="U32" s="40" t="n">
        <f aca="false">R32*(Parameter!$C$10+Parameter!$C$11)+S32*((Parameter!$C$12+Parameter!$C$13)/2+Parameter!$C$15)</f>
        <v>0</v>
      </c>
      <c r="V32" s="40" t="n">
        <f aca="false">MIN(H32,I32)*Parameter!$C$10+MIN(H32,J32)*(0.96*(Parameter!$C$12+Parameter!$C$13)/2+Parameter!$C$58)</f>
        <v>0</v>
      </c>
      <c r="W32" s="40" t="n">
        <f aca="false">MIN(H32-M32,I32)*Parameter!$C$10+MIN(H32-M32,J32)*(0.96*(Parameter!$C$12+Parameter!$C$13)/2+Parameter!$C$58)</f>
        <v>0</v>
      </c>
      <c r="X32" s="40" t="n">
        <f aca="false">MAX(0,H32-Parameter!$C$32*F32-Parameter!$C$33-V32)</f>
        <v>0</v>
      </c>
      <c r="Y32" s="40" t="n">
        <f aca="false">MAX(0,H32-L32-Parameter!$C$32*F32-Parameter!$C$33-W32)</f>
        <v>0</v>
      </c>
      <c r="Z32" s="40" t="n">
        <f aca="false">MAX(0,(X32+IF(Eingaben!$C$14=3,Eingaben!$C$15,0))/Parameter!$C$57/F32)</f>
        <v>0</v>
      </c>
      <c r="AA32" s="40" t="n">
        <f aca="false">Parameter!$C$57*F32*(IF(Z32&lt;=Parameter!$C$18,0,IF(Z32&lt;=Parameter!$C$19,(Parameter!$C$22*(Z32-Parameter!$C$18)/10000+Parameter!$C$23)*(Z32-Parameter!$C$18)/10000,IF(Z32&lt;=Parameter!$C$20,(Parameter!$C$24*(Z32-Parameter!$C$19)/10000+Parameter!$C$25)*(Z32-Parameter!$C$19)/10000+Parameter!$C$26,IF(Z32&lt;=Parameter!$C$21,0.42*Z32-Parameter!$C$27,0.45*Z32-Parameter!$C$28)))))</f>
        <v>0</v>
      </c>
      <c r="AB32" s="40" t="n">
        <f aca="false">AA32+IF(AA32&lt;=(Parameter!$C$30*Parameter!$C$57*F32),0,MIN(Parameter!$C$29*AA32,Parameter!$C$31*(AA32-(Parameter!$C$30*Parameter!$C$57*F32))))+Eingaben!$C$16*AA32</f>
        <v>0</v>
      </c>
      <c r="AC32" s="40" t="n">
        <f aca="false">MAX(0,(Y32+IF(Eingaben!$C$14=3,Eingaben!$C$15,0))/Parameter!$C$57/F32)</f>
        <v>0</v>
      </c>
      <c r="AD32" s="40" t="n">
        <f aca="false">Parameter!$C$57*F32*(IF(AC32&lt;=Parameter!$C$18,0,IF(AC32&lt;=Parameter!$C$19,(Parameter!$C$22*(AC32-Parameter!$C$18)/10000+Parameter!$C$23)*(AC32-Parameter!$C$18)/10000,IF(AC32&lt;=Parameter!$C$20,(Parameter!$C$24*(AC32-Parameter!$C$19)/10000+Parameter!$C$25)*(AC32-Parameter!$C$19)/10000+Parameter!$C$26,IF(AC32&lt;=Parameter!$C$21,0.42*AC32-Parameter!$C$27,0.45*AC32-Parameter!$C$28)))))</f>
        <v>0</v>
      </c>
      <c r="AE32" s="40" t="n">
        <f aca="false">AD32+IF(AD32&lt;=(Parameter!$C$30*Parameter!$C$57*F32),0,MIN(Parameter!$C$29*AD32,Parameter!$C$31*(AD32-(Parameter!$C$30*Parameter!$C$57*F32))))+Eingaben!$C$16*AD32</f>
        <v>0</v>
      </c>
      <c r="AF32" s="40" t="n">
        <f aca="false">AB32-AE32</f>
        <v>0</v>
      </c>
      <c r="AG32" s="40" t="n">
        <f aca="false">MAX(0,K32-T32-AF32)</f>
        <v>0</v>
      </c>
      <c r="AH32" s="40" t="n">
        <f aca="false">MIN(AG32,Parameter!$C$49)</f>
        <v>0</v>
      </c>
      <c r="AI32" s="40" t="n">
        <f aca="false">Parameter!$C$44*MIN(AH32,Parameter!$C$45)+Parameter!$C$46*MAX(0,MIN(AH32,Parameter!$C$47)-Parameter!$C$45)</f>
        <v>0</v>
      </c>
      <c r="AJ32" s="40" t="n">
        <f aca="false">MIN(AH32,Parameter!$C$48)*Eingaben!$C$18*IF(24&lt;Eingaben!$C$19,1,0)</f>
        <v>0</v>
      </c>
      <c r="AK32" s="40" t="n">
        <f aca="false">MIN(AI32+AJ32,MAX(0,Parameter!$C$49-AH32))</f>
        <v>0</v>
      </c>
      <c r="AL32" s="40" t="n">
        <f aca="false">MIN(MIN(AH32,Parameter!$C$47)+AK32,Parameter!$C$50)</f>
        <v>0</v>
      </c>
      <c r="AM32" s="40" t="n">
        <f aca="false">MAX(0,X32-AL32)</f>
        <v>0</v>
      </c>
      <c r="AN32" s="40" t="n">
        <f aca="false">MAX(0,(AM32+IF(Eingaben!$C$14=3,Eingaben!$C$15,0))/Parameter!$C$57/F32)</f>
        <v>0</v>
      </c>
      <c r="AO32" s="40" t="n">
        <f aca="false">Parameter!$C$57*F32*(IF(AN32&lt;=Parameter!$C$18,0,IF(AN32&lt;=Parameter!$C$19,(Parameter!$C$22*(AN32-Parameter!$C$18)/10000+Parameter!$C$23)*(AN32-Parameter!$C$18)/10000,IF(AN32&lt;=Parameter!$C$20,(Parameter!$C$24*(AN32-Parameter!$C$19)/10000+Parameter!$C$25)*(AN32-Parameter!$C$19)/10000+Parameter!$C$26,IF(AN32&lt;=Parameter!$C$21,0.42*AN32-Parameter!$C$27,0.45*AN32-Parameter!$C$28)))))</f>
        <v>0</v>
      </c>
      <c r="AP32" s="40" t="n">
        <f aca="false">AO32+IF(AO32&lt;=(Parameter!$C$30*Parameter!$C$57*F32),0,MIN(Parameter!$C$29*AO32,Parameter!$C$31*(AO32-(Parameter!$C$30*Parameter!$C$57*F32))))+Eingaben!$C$16*AO32</f>
        <v>0</v>
      </c>
      <c r="AQ32" s="40" t="n">
        <f aca="false">AB32-AP32</f>
        <v>0</v>
      </c>
      <c r="AR32" s="40" t="n">
        <f aca="false">MAX(0,AQ32-AK32)</f>
        <v>0</v>
      </c>
      <c r="AS32" s="40" t="n">
        <f aca="false">MIN(AH32,Parameter!$C$47)+AK32</f>
        <v>0</v>
      </c>
      <c r="AT32" s="40" t="n">
        <f aca="false">MAX(0,AH32-Parameter!$C$47)+AR31</f>
        <v>0</v>
      </c>
      <c r="AU32" s="40" t="n">
        <f aca="false">MAX(0,AG32-Parameter!$C$49)</f>
        <v>0</v>
      </c>
      <c r="AV32" s="40" t="n">
        <f aca="false">AG32</f>
        <v>0</v>
      </c>
      <c r="AW32" s="40" t="n">
        <f aca="false">IF(D32=0,AW31,AW31*(1+Parameter!$C$60)+P32*(1+Parameter!$C$60)^0.5)</f>
        <v>289135.504046375</v>
      </c>
      <c r="AX32" s="40" t="n">
        <f aca="false">IF(D32=0,AX31,AX31*(1+Parameter!$C$60)+Q32*(1+Parameter!$C$60)^0.5)</f>
        <v>0</v>
      </c>
      <c r="AY32" s="40" t="n">
        <f aca="false">IF(D32=0,AY31,AY31*(1+Parameter!$C$61)+AS32*(1+Parameter!$C$61)^0.5)</f>
        <v>137218.403951323</v>
      </c>
      <c r="AZ32" s="40" t="n">
        <f aca="false">IF(D32=0,AZ31,AZ31*(1+Parameter!$C$61)+AT32*(1+Parameter!$C$61)^0.5)</f>
        <v>55338.4631794285</v>
      </c>
      <c r="BA32" s="40" t="n">
        <f aca="false">IF(D32=0,BA31,BA31*(1+Parameter!$C$62)+AU32*(1+Parameter!$C$62)^0.5-BD32)</f>
        <v>0</v>
      </c>
      <c r="BB32" s="40" t="n">
        <f aca="false">IF(D32=0,BB31,BB31+AU32+BC32)</f>
        <v>0</v>
      </c>
      <c r="BC32" s="40" t="n">
        <f aca="false">MAX(0,MIN(BA31*(1+Parameter!$C$62)+AU32*(1+Parameter!$C$62)^0.5-BA31-AU32,BA31*Parameter!$C$39*Parameter!$C$40))</f>
        <v>0</v>
      </c>
      <c r="BD32" s="40" t="n">
        <f aca="false">MAX(0,BC32*(1-Parameter!$C$37)-Parameter!$C$67)*Parameter!$C$36</f>
        <v>0</v>
      </c>
      <c r="BE32" s="40" t="n">
        <f aca="false">IF(D32=0,BE31,BE31*(1+Parameter!$C$62)+AV32*(1+Parameter!$C$62)^0.5-BH32)</f>
        <v>147479.500522783</v>
      </c>
      <c r="BF32" s="40" t="n">
        <f aca="false">IF(D32=0,BF31,BF31+AV32+BG32)</f>
        <v>88457.8912556355</v>
      </c>
      <c r="BG32" s="40" t="n">
        <f aca="false">MAX(0,MIN(BE31*(1+Parameter!$C$62)+AV32*(1+Parameter!$C$62)^0.5-BE31-AV32,BE31*Parameter!$C$39*Parameter!$C$40))</f>
        <v>3099.67399201471</v>
      </c>
      <c r="BH32" s="40" t="n">
        <f aca="false">MAX(0,BG32*(1-Parameter!$C$37)-Parameter!$C$67)*Parameter!$C$36</f>
        <v>308.527310775716</v>
      </c>
      <c r="BI32" s="38" t="n">
        <f aca="false">R32/(Parameter!$C$8*E32)</f>
        <v>0</v>
      </c>
      <c r="BJ32" s="38" t="n">
        <f aca="false">BJ31+BI32</f>
        <v>1.59402433389804</v>
      </c>
    </row>
    <row r="33" customFormat="false" ht="15" hidden="false" customHeight="false" outlineLevel="0" collapsed="false">
      <c r="A33" s="32" t="n">
        <f aca="false">2026+25</f>
        <v>2051</v>
      </c>
      <c r="B33" s="32" t="n">
        <f aca="false">Eingaben!$C$5+25</f>
        <v>65</v>
      </c>
      <c r="C33" s="32" t="n">
        <f aca="false">IF(AND(B33&lt;Eingaben!$C$8,B33&lt;Eingaben!$C$6),1,0)</f>
        <v>0</v>
      </c>
      <c r="D33" s="32" t="n">
        <f aca="false">IF(B33&lt;Eingaben!$C$6,1,0)</f>
        <v>1</v>
      </c>
      <c r="E33" s="41" t="n">
        <f aca="false">(1+Eingaben!$C$13)^25</f>
        <v>1.85394409832215</v>
      </c>
      <c r="F33" s="41" t="n">
        <f aca="false">(1+Eingaben!$C$17)^25</f>
        <v>1.64060599446473</v>
      </c>
      <c r="G33" s="42" t="n">
        <f aca="false">IF(B33&gt;=Eingaben!$C$9,Eingaben!$C$10,1)</f>
        <v>0.6</v>
      </c>
      <c r="H33" s="43" t="n">
        <f aca="false">Eingaben!$C$12*E33*G33*C33</f>
        <v>0</v>
      </c>
      <c r="I33" s="43" t="n">
        <f aca="false">Parameter!$C$4*E33</f>
        <v>187989.931569866</v>
      </c>
      <c r="J33" s="43" t="n">
        <f aca="false">Parameter!$C$5*E33</f>
        <v>129312.60085797</v>
      </c>
      <c r="K33" s="43" t="n">
        <f aca="false">MIN(H33,12*(IF(Eingaben!$C$22=2,Umrechnung!$C$54,Eingaben!$C$23))*IF(Eingaben!$C$25=1,E33,1))*C33</f>
        <v>0</v>
      </c>
      <c r="L33" s="43" t="n">
        <f aca="false">MIN(K33,MAX(0,Parameter!$C$42*I33-N33))</f>
        <v>0</v>
      </c>
      <c r="M33" s="43" t="n">
        <f aca="false">MIN(K33,Parameter!$C$43*I33)</f>
        <v>0</v>
      </c>
      <c r="N33" s="43" t="n">
        <f aca="false">IF(Eingaben!$C$27=2,MIN(Eingaben!$C$26*K33,U33),Eingaben!$C$26*IF(Eingaben!$C$27=1,M33,K33))</f>
        <v>0</v>
      </c>
      <c r="O33" s="43" t="n">
        <f aca="false">K33+N33</f>
        <v>0</v>
      </c>
      <c r="P33" s="43" t="n">
        <f aca="false">MIN(O33,Parameter!$C$42*I33)</f>
        <v>0</v>
      </c>
      <c r="Q33" s="43" t="n">
        <f aca="false">O33-P33</f>
        <v>0</v>
      </c>
      <c r="R33" s="43" t="n">
        <f aca="false">MIN(H33,I33)-MIN(H33-M33,I33)</f>
        <v>0</v>
      </c>
      <c r="S33" s="43" t="n">
        <f aca="false">MIN(H33,J33)-MIN(H33-M33,J33)</f>
        <v>0</v>
      </c>
      <c r="T33" s="43" t="n">
        <f aca="false">R33*(Parameter!$C$10+Parameter!$C$11)+S33*((Parameter!$C$12+Parameter!$C$13)/2+Parameter!$C$58)</f>
        <v>0</v>
      </c>
      <c r="U33" s="43" t="n">
        <f aca="false">R33*(Parameter!$C$10+Parameter!$C$11)+S33*((Parameter!$C$12+Parameter!$C$13)/2+Parameter!$C$15)</f>
        <v>0</v>
      </c>
      <c r="V33" s="43" t="n">
        <f aca="false">MIN(H33,I33)*Parameter!$C$10+MIN(H33,J33)*(0.96*(Parameter!$C$12+Parameter!$C$13)/2+Parameter!$C$58)</f>
        <v>0</v>
      </c>
      <c r="W33" s="43" t="n">
        <f aca="false">MIN(H33-M33,I33)*Parameter!$C$10+MIN(H33-M33,J33)*(0.96*(Parameter!$C$12+Parameter!$C$13)/2+Parameter!$C$58)</f>
        <v>0</v>
      </c>
      <c r="X33" s="43" t="n">
        <f aca="false">MAX(0,H33-Parameter!$C$32*F33-Parameter!$C$33-V33)</f>
        <v>0</v>
      </c>
      <c r="Y33" s="43" t="n">
        <f aca="false">MAX(0,H33-L33-Parameter!$C$32*F33-Parameter!$C$33-W33)</f>
        <v>0</v>
      </c>
      <c r="Z33" s="43" t="n">
        <f aca="false">MAX(0,(X33+IF(Eingaben!$C$14=3,Eingaben!$C$15,0))/Parameter!$C$57/F33)</f>
        <v>0</v>
      </c>
      <c r="AA33" s="43" t="n">
        <f aca="false">Parameter!$C$57*F33*(IF(Z33&lt;=Parameter!$C$18,0,IF(Z33&lt;=Parameter!$C$19,(Parameter!$C$22*(Z33-Parameter!$C$18)/10000+Parameter!$C$23)*(Z33-Parameter!$C$18)/10000,IF(Z33&lt;=Parameter!$C$20,(Parameter!$C$24*(Z33-Parameter!$C$19)/10000+Parameter!$C$25)*(Z33-Parameter!$C$19)/10000+Parameter!$C$26,IF(Z33&lt;=Parameter!$C$21,0.42*Z33-Parameter!$C$27,0.45*Z33-Parameter!$C$28)))))</f>
        <v>0</v>
      </c>
      <c r="AB33" s="43" t="n">
        <f aca="false">AA33+IF(AA33&lt;=(Parameter!$C$30*Parameter!$C$57*F33),0,MIN(Parameter!$C$29*AA33,Parameter!$C$31*(AA33-(Parameter!$C$30*Parameter!$C$57*F33))))+Eingaben!$C$16*AA33</f>
        <v>0</v>
      </c>
      <c r="AC33" s="43" t="n">
        <f aca="false">MAX(0,(Y33+IF(Eingaben!$C$14=3,Eingaben!$C$15,0))/Parameter!$C$57/F33)</f>
        <v>0</v>
      </c>
      <c r="AD33" s="43" t="n">
        <f aca="false">Parameter!$C$57*F33*(IF(AC33&lt;=Parameter!$C$18,0,IF(AC33&lt;=Parameter!$C$19,(Parameter!$C$22*(AC33-Parameter!$C$18)/10000+Parameter!$C$23)*(AC33-Parameter!$C$18)/10000,IF(AC33&lt;=Parameter!$C$20,(Parameter!$C$24*(AC33-Parameter!$C$19)/10000+Parameter!$C$25)*(AC33-Parameter!$C$19)/10000+Parameter!$C$26,IF(AC33&lt;=Parameter!$C$21,0.42*AC33-Parameter!$C$27,0.45*AC33-Parameter!$C$28)))))</f>
        <v>0</v>
      </c>
      <c r="AE33" s="43" t="n">
        <f aca="false">AD33+IF(AD33&lt;=(Parameter!$C$30*Parameter!$C$57*F33),0,MIN(Parameter!$C$29*AD33,Parameter!$C$31*(AD33-(Parameter!$C$30*Parameter!$C$57*F33))))+Eingaben!$C$16*AD33</f>
        <v>0</v>
      </c>
      <c r="AF33" s="43" t="n">
        <f aca="false">AB33-AE33</f>
        <v>0</v>
      </c>
      <c r="AG33" s="43" t="n">
        <f aca="false">MAX(0,K33-T33-AF33)</f>
        <v>0</v>
      </c>
      <c r="AH33" s="43" t="n">
        <f aca="false">MIN(AG33,Parameter!$C$49)</f>
        <v>0</v>
      </c>
      <c r="AI33" s="43" t="n">
        <f aca="false">Parameter!$C$44*MIN(AH33,Parameter!$C$45)+Parameter!$C$46*MAX(0,MIN(AH33,Parameter!$C$47)-Parameter!$C$45)</f>
        <v>0</v>
      </c>
      <c r="AJ33" s="43" t="n">
        <f aca="false">MIN(AH33,Parameter!$C$48)*Eingaben!$C$18*IF(25&lt;Eingaben!$C$19,1,0)</f>
        <v>0</v>
      </c>
      <c r="AK33" s="43" t="n">
        <f aca="false">MIN(AI33+AJ33,MAX(0,Parameter!$C$49-AH33))</f>
        <v>0</v>
      </c>
      <c r="AL33" s="43" t="n">
        <f aca="false">MIN(MIN(AH33,Parameter!$C$47)+AK33,Parameter!$C$50)</f>
        <v>0</v>
      </c>
      <c r="AM33" s="43" t="n">
        <f aca="false">MAX(0,X33-AL33)</f>
        <v>0</v>
      </c>
      <c r="AN33" s="43" t="n">
        <f aca="false">MAX(0,(AM33+IF(Eingaben!$C$14=3,Eingaben!$C$15,0))/Parameter!$C$57/F33)</f>
        <v>0</v>
      </c>
      <c r="AO33" s="43" t="n">
        <f aca="false">Parameter!$C$57*F33*(IF(AN33&lt;=Parameter!$C$18,0,IF(AN33&lt;=Parameter!$C$19,(Parameter!$C$22*(AN33-Parameter!$C$18)/10000+Parameter!$C$23)*(AN33-Parameter!$C$18)/10000,IF(AN33&lt;=Parameter!$C$20,(Parameter!$C$24*(AN33-Parameter!$C$19)/10000+Parameter!$C$25)*(AN33-Parameter!$C$19)/10000+Parameter!$C$26,IF(AN33&lt;=Parameter!$C$21,0.42*AN33-Parameter!$C$27,0.45*AN33-Parameter!$C$28)))))</f>
        <v>0</v>
      </c>
      <c r="AP33" s="43" t="n">
        <f aca="false">AO33+IF(AO33&lt;=(Parameter!$C$30*Parameter!$C$57*F33),0,MIN(Parameter!$C$29*AO33,Parameter!$C$31*(AO33-(Parameter!$C$30*Parameter!$C$57*F33))))+Eingaben!$C$16*AO33</f>
        <v>0</v>
      </c>
      <c r="AQ33" s="43" t="n">
        <f aca="false">AB33-AP33</f>
        <v>0</v>
      </c>
      <c r="AR33" s="43" t="n">
        <f aca="false">MAX(0,AQ33-AK33)</f>
        <v>0</v>
      </c>
      <c r="AS33" s="43" t="n">
        <f aca="false">MIN(AH33,Parameter!$C$47)+AK33</f>
        <v>0</v>
      </c>
      <c r="AT33" s="43" t="n">
        <f aca="false">MAX(0,AH33-Parameter!$C$47)+AR32</f>
        <v>0</v>
      </c>
      <c r="AU33" s="43" t="n">
        <f aca="false">MAX(0,AG33-Parameter!$C$49)</f>
        <v>0</v>
      </c>
      <c r="AV33" s="43" t="n">
        <f aca="false">AG33</f>
        <v>0</v>
      </c>
      <c r="AW33" s="43" t="n">
        <f aca="false">IF(D33=0,AW32,AW32*(1+Parameter!$C$60)+P33*(1+Parameter!$C$60)^0.5)</f>
        <v>307640.176305343</v>
      </c>
      <c r="AX33" s="43" t="n">
        <f aca="false">IF(D33=0,AX32,AX32*(1+Parameter!$C$60)+Q33*(1+Parameter!$C$60)^0.5)</f>
        <v>0</v>
      </c>
      <c r="AY33" s="43" t="n">
        <f aca="false">IF(D33=0,AY32,AY32*(1+Parameter!$C$61)+AS33*(1+Parameter!$C$61)^0.5)</f>
        <v>146137.600208159</v>
      </c>
      <c r="AZ33" s="43" t="n">
        <f aca="false">IF(D33=0,AZ32,AZ32*(1+Parameter!$C$61)+AT33*(1+Parameter!$C$61)^0.5)</f>
        <v>58935.4632860913</v>
      </c>
      <c r="BA33" s="43" t="n">
        <f aca="false">IF(D33=0,BA32,BA32*(1+Parameter!$C$62)+AU33*(1+Parameter!$C$62)^0.5-BD33)</f>
        <v>0</v>
      </c>
      <c r="BB33" s="43" t="n">
        <f aca="false">IF(D33=0,BB32,BB32+AU33+BC33)</f>
        <v>0</v>
      </c>
      <c r="BC33" s="43" t="n">
        <f aca="false">MAX(0,MIN(BA32*(1+Parameter!$C$62)+AU33*(1+Parameter!$C$62)^0.5-BA32-AU33,BA32*Parameter!$C$39*Parameter!$C$40))</f>
        <v>0</v>
      </c>
      <c r="BD33" s="43" t="n">
        <f aca="false">MAX(0,BC33*(1-Parameter!$C$37)-Parameter!$C$67)*Parameter!$C$36</f>
        <v>0</v>
      </c>
      <c r="BE33" s="43" t="n">
        <f aca="false">IF(D33=0,BE32,BE32*(1+Parameter!$C$62)+AV33*(1+Parameter!$C$62)^0.5-BH33)</f>
        <v>157161.94033597</v>
      </c>
      <c r="BF33" s="43" t="n">
        <f aca="false">IF(D33=0,BF32,BF32+AV33+BG33)</f>
        <v>91761.4320673458</v>
      </c>
      <c r="BG33" s="43" t="n">
        <f aca="false">MAX(0,MIN(BE32*(1+Parameter!$C$62)+AV33*(1+Parameter!$C$62)^0.5-BE32-AV33,BE32*Parameter!$C$39*Parameter!$C$40))</f>
        <v>3303.54081171034</v>
      </c>
      <c r="BH33" s="43" t="n">
        <f aca="false">MAX(0,BG33*(1-Parameter!$C$37)-Parameter!$C$67)*Parameter!$C$36</f>
        <v>346.166222362021</v>
      </c>
      <c r="BI33" s="41" t="n">
        <f aca="false">R33/(Parameter!$C$8*E33)</f>
        <v>0</v>
      </c>
      <c r="BJ33" s="41" t="n">
        <f aca="false">BJ32+BI33</f>
        <v>1.59402433389804</v>
      </c>
    </row>
    <row r="34" customFormat="false" ht="15" hidden="false" customHeight="false" outlineLevel="0" collapsed="false">
      <c r="A34" s="30" t="n">
        <f aca="false">2026+26</f>
        <v>2052</v>
      </c>
      <c r="B34" s="30" t="n">
        <f aca="false">Eingaben!$C$5+26</f>
        <v>66</v>
      </c>
      <c r="C34" s="30" t="n">
        <f aca="false">IF(AND(B34&lt;Eingaben!$C$8,B34&lt;Eingaben!$C$6),1,0)</f>
        <v>0</v>
      </c>
      <c r="D34" s="30" t="n">
        <f aca="false">IF(B34&lt;Eingaben!$C$6,1,0)</f>
        <v>1</v>
      </c>
      <c r="E34" s="38" t="n">
        <f aca="false">(1+Eingaben!$C$13)^26</f>
        <v>1.90029270078021</v>
      </c>
      <c r="F34" s="38" t="n">
        <f aca="false">(1+Eingaben!$C$17)^26</f>
        <v>1.67341811435403</v>
      </c>
      <c r="G34" s="39" t="n">
        <f aca="false">IF(B34&gt;=Eingaben!$C$9,Eingaben!$C$10,1)</f>
        <v>0.6</v>
      </c>
      <c r="H34" s="40" t="n">
        <f aca="false">Eingaben!$C$12*E34*G34*C34</f>
        <v>0</v>
      </c>
      <c r="I34" s="40" t="n">
        <f aca="false">Parameter!$C$4*E34</f>
        <v>192689.679859113</v>
      </c>
      <c r="J34" s="40" t="n">
        <f aca="false">Parameter!$C$5*E34</f>
        <v>132545.415879419</v>
      </c>
      <c r="K34" s="40" t="n">
        <f aca="false">MIN(H34,12*(IF(Eingaben!$C$22=2,Umrechnung!$C$54,Eingaben!$C$23))*IF(Eingaben!$C$25=1,E34,1))*C34</f>
        <v>0</v>
      </c>
      <c r="L34" s="40" t="n">
        <f aca="false">MIN(K34,MAX(0,Parameter!$C$42*I34-N34))</f>
        <v>0</v>
      </c>
      <c r="M34" s="40" t="n">
        <f aca="false">MIN(K34,Parameter!$C$43*I34)</f>
        <v>0</v>
      </c>
      <c r="N34" s="40" t="n">
        <f aca="false">IF(Eingaben!$C$27=2,MIN(Eingaben!$C$26*K34,U34),Eingaben!$C$26*IF(Eingaben!$C$27=1,M34,K34))</f>
        <v>0</v>
      </c>
      <c r="O34" s="40" t="n">
        <f aca="false">K34+N34</f>
        <v>0</v>
      </c>
      <c r="P34" s="40" t="n">
        <f aca="false">MIN(O34,Parameter!$C$42*I34)</f>
        <v>0</v>
      </c>
      <c r="Q34" s="40" t="n">
        <f aca="false">O34-P34</f>
        <v>0</v>
      </c>
      <c r="R34" s="40" t="n">
        <f aca="false">MIN(H34,I34)-MIN(H34-M34,I34)</f>
        <v>0</v>
      </c>
      <c r="S34" s="40" t="n">
        <f aca="false">MIN(H34,J34)-MIN(H34-M34,J34)</f>
        <v>0</v>
      </c>
      <c r="T34" s="40" t="n">
        <f aca="false">R34*(Parameter!$C$10+Parameter!$C$11)+S34*((Parameter!$C$12+Parameter!$C$13)/2+Parameter!$C$58)</f>
        <v>0</v>
      </c>
      <c r="U34" s="40" t="n">
        <f aca="false">R34*(Parameter!$C$10+Parameter!$C$11)+S34*((Parameter!$C$12+Parameter!$C$13)/2+Parameter!$C$15)</f>
        <v>0</v>
      </c>
      <c r="V34" s="40" t="n">
        <f aca="false">MIN(H34,I34)*Parameter!$C$10+MIN(H34,J34)*(0.96*(Parameter!$C$12+Parameter!$C$13)/2+Parameter!$C$58)</f>
        <v>0</v>
      </c>
      <c r="W34" s="40" t="n">
        <f aca="false">MIN(H34-M34,I34)*Parameter!$C$10+MIN(H34-M34,J34)*(0.96*(Parameter!$C$12+Parameter!$C$13)/2+Parameter!$C$58)</f>
        <v>0</v>
      </c>
      <c r="X34" s="40" t="n">
        <f aca="false">MAX(0,H34-Parameter!$C$32*F34-Parameter!$C$33-V34)</f>
        <v>0</v>
      </c>
      <c r="Y34" s="40" t="n">
        <f aca="false">MAX(0,H34-L34-Parameter!$C$32*F34-Parameter!$C$33-W34)</f>
        <v>0</v>
      </c>
      <c r="Z34" s="40" t="n">
        <f aca="false">MAX(0,(X34+IF(Eingaben!$C$14=3,Eingaben!$C$15,0))/Parameter!$C$57/F34)</f>
        <v>0</v>
      </c>
      <c r="AA34" s="40" t="n">
        <f aca="false">Parameter!$C$57*F34*(IF(Z34&lt;=Parameter!$C$18,0,IF(Z34&lt;=Parameter!$C$19,(Parameter!$C$22*(Z34-Parameter!$C$18)/10000+Parameter!$C$23)*(Z34-Parameter!$C$18)/10000,IF(Z34&lt;=Parameter!$C$20,(Parameter!$C$24*(Z34-Parameter!$C$19)/10000+Parameter!$C$25)*(Z34-Parameter!$C$19)/10000+Parameter!$C$26,IF(Z34&lt;=Parameter!$C$21,0.42*Z34-Parameter!$C$27,0.45*Z34-Parameter!$C$28)))))</f>
        <v>0</v>
      </c>
      <c r="AB34" s="40" t="n">
        <f aca="false">AA34+IF(AA34&lt;=(Parameter!$C$30*Parameter!$C$57*F34),0,MIN(Parameter!$C$29*AA34,Parameter!$C$31*(AA34-(Parameter!$C$30*Parameter!$C$57*F34))))+Eingaben!$C$16*AA34</f>
        <v>0</v>
      </c>
      <c r="AC34" s="40" t="n">
        <f aca="false">MAX(0,(Y34+IF(Eingaben!$C$14=3,Eingaben!$C$15,0))/Parameter!$C$57/F34)</f>
        <v>0</v>
      </c>
      <c r="AD34" s="40" t="n">
        <f aca="false">Parameter!$C$57*F34*(IF(AC34&lt;=Parameter!$C$18,0,IF(AC34&lt;=Parameter!$C$19,(Parameter!$C$22*(AC34-Parameter!$C$18)/10000+Parameter!$C$23)*(AC34-Parameter!$C$18)/10000,IF(AC34&lt;=Parameter!$C$20,(Parameter!$C$24*(AC34-Parameter!$C$19)/10000+Parameter!$C$25)*(AC34-Parameter!$C$19)/10000+Parameter!$C$26,IF(AC34&lt;=Parameter!$C$21,0.42*AC34-Parameter!$C$27,0.45*AC34-Parameter!$C$28)))))</f>
        <v>0</v>
      </c>
      <c r="AE34" s="40" t="n">
        <f aca="false">AD34+IF(AD34&lt;=(Parameter!$C$30*Parameter!$C$57*F34),0,MIN(Parameter!$C$29*AD34,Parameter!$C$31*(AD34-(Parameter!$C$30*Parameter!$C$57*F34))))+Eingaben!$C$16*AD34</f>
        <v>0</v>
      </c>
      <c r="AF34" s="40" t="n">
        <f aca="false">AB34-AE34</f>
        <v>0</v>
      </c>
      <c r="AG34" s="40" t="n">
        <f aca="false">MAX(0,K34-T34-AF34)</f>
        <v>0</v>
      </c>
      <c r="AH34" s="40" t="n">
        <f aca="false">MIN(AG34,Parameter!$C$49)</f>
        <v>0</v>
      </c>
      <c r="AI34" s="40" t="n">
        <f aca="false">Parameter!$C$44*MIN(AH34,Parameter!$C$45)+Parameter!$C$46*MAX(0,MIN(AH34,Parameter!$C$47)-Parameter!$C$45)</f>
        <v>0</v>
      </c>
      <c r="AJ34" s="40" t="n">
        <f aca="false">MIN(AH34,Parameter!$C$48)*Eingaben!$C$18*IF(26&lt;Eingaben!$C$19,1,0)</f>
        <v>0</v>
      </c>
      <c r="AK34" s="40" t="n">
        <f aca="false">MIN(AI34+AJ34,MAX(0,Parameter!$C$49-AH34))</f>
        <v>0</v>
      </c>
      <c r="AL34" s="40" t="n">
        <f aca="false">MIN(MIN(AH34,Parameter!$C$47)+AK34,Parameter!$C$50)</f>
        <v>0</v>
      </c>
      <c r="AM34" s="40" t="n">
        <f aca="false">MAX(0,X34-AL34)</f>
        <v>0</v>
      </c>
      <c r="AN34" s="40" t="n">
        <f aca="false">MAX(0,(AM34+IF(Eingaben!$C$14=3,Eingaben!$C$15,0))/Parameter!$C$57/F34)</f>
        <v>0</v>
      </c>
      <c r="AO34" s="40" t="n">
        <f aca="false">Parameter!$C$57*F34*(IF(AN34&lt;=Parameter!$C$18,0,IF(AN34&lt;=Parameter!$C$19,(Parameter!$C$22*(AN34-Parameter!$C$18)/10000+Parameter!$C$23)*(AN34-Parameter!$C$18)/10000,IF(AN34&lt;=Parameter!$C$20,(Parameter!$C$24*(AN34-Parameter!$C$19)/10000+Parameter!$C$25)*(AN34-Parameter!$C$19)/10000+Parameter!$C$26,IF(AN34&lt;=Parameter!$C$21,0.42*AN34-Parameter!$C$27,0.45*AN34-Parameter!$C$28)))))</f>
        <v>0</v>
      </c>
      <c r="AP34" s="40" t="n">
        <f aca="false">AO34+IF(AO34&lt;=(Parameter!$C$30*Parameter!$C$57*F34),0,MIN(Parameter!$C$29*AO34,Parameter!$C$31*(AO34-(Parameter!$C$30*Parameter!$C$57*F34))))+Eingaben!$C$16*AO34</f>
        <v>0</v>
      </c>
      <c r="AQ34" s="40" t="n">
        <f aca="false">AB34-AP34</f>
        <v>0</v>
      </c>
      <c r="AR34" s="40" t="n">
        <f aca="false">MAX(0,AQ34-AK34)</f>
        <v>0</v>
      </c>
      <c r="AS34" s="40" t="n">
        <f aca="false">MIN(AH34,Parameter!$C$47)+AK34</f>
        <v>0</v>
      </c>
      <c r="AT34" s="40" t="n">
        <f aca="false">MAX(0,AH34-Parameter!$C$47)+AR33</f>
        <v>0</v>
      </c>
      <c r="AU34" s="40" t="n">
        <f aca="false">MAX(0,AG34-Parameter!$C$49)</f>
        <v>0</v>
      </c>
      <c r="AV34" s="40" t="n">
        <f aca="false">AG34</f>
        <v>0</v>
      </c>
      <c r="AW34" s="40" t="n">
        <f aca="false">IF(D34=0,AW33,AW33*(1+Parameter!$C$60)+P34*(1+Parameter!$C$60)^0.5)</f>
        <v>327329.147588884</v>
      </c>
      <c r="AX34" s="40" t="n">
        <f aca="false">IF(D34=0,AX33,AX33*(1+Parameter!$C$60)+Q34*(1+Parameter!$C$60)^0.5)</f>
        <v>0</v>
      </c>
      <c r="AY34" s="40" t="n">
        <f aca="false">IF(D34=0,AY33,AY33*(1+Parameter!$C$61)+AS34*(1+Parameter!$C$61)^0.5)</f>
        <v>155636.544221689</v>
      </c>
      <c r="AZ34" s="40" t="n">
        <f aca="false">IF(D34=0,AZ33,AZ33*(1+Parameter!$C$61)+AT34*(1+Parameter!$C$61)^0.5)</f>
        <v>62766.2683996872</v>
      </c>
      <c r="BA34" s="40" t="n">
        <f aca="false">IF(D34=0,BA33,BA33*(1+Parameter!$C$62)+AU34*(1+Parameter!$C$62)^0.5-BD34)</f>
        <v>0</v>
      </c>
      <c r="BB34" s="40" t="n">
        <f aca="false">IF(D34=0,BB33,BB33+AU34+BC34)</f>
        <v>0</v>
      </c>
      <c r="BC34" s="40" t="n">
        <f aca="false">MAX(0,MIN(BA33*(1+Parameter!$C$62)+AU34*(1+Parameter!$C$62)^0.5-BA33-AU34,BA33*Parameter!$C$39*Parameter!$C$40))</f>
        <v>0</v>
      </c>
      <c r="BD34" s="40" t="n">
        <f aca="false">MAX(0,BC34*(1-Parameter!$C$37)-Parameter!$C$67)*Parameter!$C$36</f>
        <v>0</v>
      </c>
      <c r="BE34" s="40" t="n">
        <f aca="false">IF(D34=0,BE33,BE33*(1+Parameter!$C$62)+AV34*(1+Parameter!$C$62)^0.5-BH34)</f>
        <v>167462.743358363</v>
      </c>
      <c r="BF34" s="40" t="n">
        <f aca="false">IF(D34=0,BF33,BF33+AV34+BG34)</f>
        <v>95281.8595308716</v>
      </c>
      <c r="BG34" s="40" t="n">
        <f aca="false">MAX(0,MIN(BE33*(1+Parameter!$C$62)+AV34*(1+Parameter!$C$62)^0.5-BE33-AV34,BE33*Parameter!$C$39*Parameter!$C$40))</f>
        <v>3520.42746352573</v>
      </c>
      <c r="BH34" s="40" t="n">
        <f aca="false">MAX(0,BG34*(1-Parameter!$C$37)-Parameter!$C$67)*Parameter!$C$36</f>
        <v>386.208920453438</v>
      </c>
      <c r="BI34" s="38" t="n">
        <f aca="false">R34/(Parameter!$C$8*E34)</f>
        <v>0</v>
      </c>
      <c r="BJ34" s="38" t="n">
        <f aca="false">BJ33+BI34</f>
        <v>1.59402433389804</v>
      </c>
    </row>
    <row r="35" customFormat="false" ht="15" hidden="false" customHeight="false" outlineLevel="0" collapsed="false">
      <c r="A35" s="32" t="n">
        <f aca="false">2026+27</f>
        <v>2053</v>
      </c>
      <c r="B35" s="32" t="n">
        <f aca="false">Eingaben!$C$5+27</f>
        <v>67</v>
      </c>
      <c r="C35" s="32" t="n">
        <f aca="false">IF(AND(B35&lt;Eingaben!$C$8,B35&lt;Eingaben!$C$6),1,0)</f>
        <v>0</v>
      </c>
      <c r="D35" s="32" t="n">
        <f aca="false">IF(B35&lt;Eingaben!$C$6,1,0)</f>
        <v>0</v>
      </c>
      <c r="E35" s="41" t="n">
        <f aca="false">(1+Eingaben!$C$13)^27</f>
        <v>1.94780001829971</v>
      </c>
      <c r="F35" s="41" t="n">
        <f aca="false">(1+Eingaben!$C$17)^27</f>
        <v>1.70688647664111</v>
      </c>
      <c r="G35" s="42" t="n">
        <f aca="false">IF(B35&gt;=Eingaben!$C$9,Eingaben!$C$10,1)</f>
        <v>0.6</v>
      </c>
      <c r="H35" s="43" t="n">
        <f aca="false">Eingaben!$C$12*E35*G35*C35</f>
        <v>0</v>
      </c>
      <c r="I35" s="43" t="n">
        <f aca="false">Parameter!$C$4*E35</f>
        <v>197506.921855591</v>
      </c>
      <c r="J35" s="43" t="n">
        <f aca="false">Parameter!$C$5*E35</f>
        <v>135859.051276405</v>
      </c>
      <c r="K35" s="43" t="n">
        <f aca="false">MIN(H35,12*(IF(Eingaben!$C$22=2,Umrechnung!$C$54,Eingaben!$C$23))*IF(Eingaben!$C$25=1,E35,1))*C35</f>
        <v>0</v>
      </c>
      <c r="L35" s="43" t="n">
        <f aca="false">MIN(K35,MAX(0,Parameter!$C$42*I35-N35))</f>
        <v>0</v>
      </c>
      <c r="M35" s="43" t="n">
        <f aca="false">MIN(K35,Parameter!$C$43*I35)</f>
        <v>0</v>
      </c>
      <c r="N35" s="43" t="n">
        <f aca="false">IF(Eingaben!$C$27=2,MIN(Eingaben!$C$26*K35,U35),Eingaben!$C$26*IF(Eingaben!$C$27=1,M35,K35))</f>
        <v>0</v>
      </c>
      <c r="O35" s="43" t="n">
        <f aca="false">K35+N35</f>
        <v>0</v>
      </c>
      <c r="P35" s="43" t="n">
        <f aca="false">MIN(O35,Parameter!$C$42*I35)</f>
        <v>0</v>
      </c>
      <c r="Q35" s="43" t="n">
        <f aca="false">O35-P35</f>
        <v>0</v>
      </c>
      <c r="R35" s="43" t="n">
        <f aca="false">MIN(H35,I35)-MIN(H35-M35,I35)</f>
        <v>0</v>
      </c>
      <c r="S35" s="43" t="n">
        <f aca="false">MIN(H35,J35)-MIN(H35-M35,J35)</f>
        <v>0</v>
      </c>
      <c r="T35" s="43" t="n">
        <f aca="false">R35*(Parameter!$C$10+Parameter!$C$11)+S35*((Parameter!$C$12+Parameter!$C$13)/2+Parameter!$C$58)</f>
        <v>0</v>
      </c>
      <c r="U35" s="43" t="n">
        <f aca="false">R35*(Parameter!$C$10+Parameter!$C$11)+S35*((Parameter!$C$12+Parameter!$C$13)/2+Parameter!$C$15)</f>
        <v>0</v>
      </c>
      <c r="V35" s="43" t="n">
        <f aca="false">MIN(H35,I35)*Parameter!$C$10+MIN(H35,J35)*(0.96*(Parameter!$C$12+Parameter!$C$13)/2+Parameter!$C$58)</f>
        <v>0</v>
      </c>
      <c r="W35" s="43" t="n">
        <f aca="false">MIN(H35-M35,I35)*Parameter!$C$10+MIN(H35-M35,J35)*(0.96*(Parameter!$C$12+Parameter!$C$13)/2+Parameter!$C$58)</f>
        <v>0</v>
      </c>
      <c r="X35" s="43" t="n">
        <f aca="false">MAX(0,H35-Parameter!$C$32*F35-Parameter!$C$33-V35)</f>
        <v>0</v>
      </c>
      <c r="Y35" s="43" t="n">
        <f aca="false">MAX(0,H35-L35-Parameter!$C$32*F35-Parameter!$C$33-W35)</f>
        <v>0</v>
      </c>
      <c r="Z35" s="43" t="n">
        <f aca="false">MAX(0,(X35+IF(Eingaben!$C$14=3,Eingaben!$C$15,0))/Parameter!$C$57/F35)</f>
        <v>0</v>
      </c>
      <c r="AA35" s="43" t="n">
        <f aca="false">Parameter!$C$57*F35*(IF(Z35&lt;=Parameter!$C$18,0,IF(Z35&lt;=Parameter!$C$19,(Parameter!$C$22*(Z35-Parameter!$C$18)/10000+Parameter!$C$23)*(Z35-Parameter!$C$18)/10000,IF(Z35&lt;=Parameter!$C$20,(Parameter!$C$24*(Z35-Parameter!$C$19)/10000+Parameter!$C$25)*(Z35-Parameter!$C$19)/10000+Parameter!$C$26,IF(Z35&lt;=Parameter!$C$21,0.42*Z35-Parameter!$C$27,0.45*Z35-Parameter!$C$28)))))</f>
        <v>0</v>
      </c>
      <c r="AB35" s="43" t="n">
        <f aca="false">AA35+IF(AA35&lt;=(Parameter!$C$30*Parameter!$C$57*F35),0,MIN(Parameter!$C$29*AA35,Parameter!$C$31*(AA35-(Parameter!$C$30*Parameter!$C$57*F35))))+Eingaben!$C$16*AA35</f>
        <v>0</v>
      </c>
      <c r="AC35" s="43" t="n">
        <f aca="false">MAX(0,(Y35+IF(Eingaben!$C$14=3,Eingaben!$C$15,0))/Parameter!$C$57/F35)</f>
        <v>0</v>
      </c>
      <c r="AD35" s="43" t="n">
        <f aca="false">Parameter!$C$57*F35*(IF(AC35&lt;=Parameter!$C$18,0,IF(AC35&lt;=Parameter!$C$19,(Parameter!$C$22*(AC35-Parameter!$C$18)/10000+Parameter!$C$23)*(AC35-Parameter!$C$18)/10000,IF(AC35&lt;=Parameter!$C$20,(Parameter!$C$24*(AC35-Parameter!$C$19)/10000+Parameter!$C$25)*(AC35-Parameter!$C$19)/10000+Parameter!$C$26,IF(AC35&lt;=Parameter!$C$21,0.42*AC35-Parameter!$C$27,0.45*AC35-Parameter!$C$28)))))</f>
        <v>0</v>
      </c>
      <c r="AE35" s="43" t="n">
        <f aca="false">AD35+IF(AD35&lt;=(Parameter!$C$30*Parameter!$C$57*F35),0,MIN(Parameter!$C$29*AD35,Parameter!$C$31*(AD35-(Parameter!$C$30*Parameter!$C$57*F35))))+Eingaben!$C$16*AD35</f>
        <v>0</v>
      </c>
      <c r="AF35" s="43" t="n">
        <f aca="false">AB35-AE35</f>
        <v>0</v>
      </c>
      <c r="AG35" s="43" t="n">
        <f aca="false">MAX(0,K35-T35-AF35)</f>
        <v>0</v>
      </c>
      <c r="AH35" s="43" t="n">
        <f aca="false">MIN(AG35,Parameter!$C$49)</f>
        <v>0</v>
      </c>
      <c r="AI35" s="43" t="n">
        <f aca="false">Parameter!$C$44*MIN(AH35,Parameter!$C$45)+Parameter!$C$46*MAX(0,MIN(AH35,Parameter!$C$47)-Parameter!$C$45)</f>
        <v>0</v>
      </c>
      <c r="AJ35" s="43" t="n">
        <f aca="false">MIN(AH35,Parameter!$C$48)*Eingaben!$C$18*IF(27&lt;Eingaben!$C$19,1,0)</f>
        <v>0</v>
      </c>
      <c r="AK35" s="43" t="n">
        <f aca="false">MIN(AI35+AJ35,MAX(0,Parameter!$C$49-AH35))</f>
        <v>0</v>
      </c>
      <c r="AL35" s="43" t="n">
        <f aca="false">MIN(MIN(AH35,Parameter!$C$47)+AK35,Parameter!$C$50)</f>
        <v>0</v>
      </c>
      <c r="AM35" s="43" t="n">
        <f aca="false">MAX(0,X35-AL35)</f>
        <v>0</v>
      </c>
      <c r="AN35" s="43" t="n">
        <f aca="false">MAX(0,(AM35+IF(Eingaben!$C$14=3,Eingaben!$C$15,0))/Parameter!$C$57/F35)</f>
        <v>0</v>
      </c>
      <c r="AO35" s="43" t="n">
        <f aca="false">Parameter!$C$57*F35*(IF(AN35&lt;=Parameter!$C$18,0,IF(AN35&lt;=Parameter!$C$19,(Parameter!$C$22*(AN35-Parameter!$C$18)/10000+Parameter!$C$23)*(AN35-Parameter!$C$18)/10000,IF(AN35&lt;=Parameter!$C$20,(Parameter!$C$24*(AN35-Parameter!$C$19)/10000+Parameter!$C$25)*(AN35-Parameter!$C$19)/10000+Parameter!$C$26,IF(AN35&lt;=Parameter!$C$21,0.42*AN35-Parameter!$C$27,0.45*AN35-Parameter!$C$28)))))</f>
        <v>0</v>
      </c>
      <c r="AP35" s="43" t="n">
        <f aca="false">AO35+IF(AO35&lt;=(Parameter!$C$30*Parameter!$C$57*F35),0,MIN(Parameter!$C$29*AO35,Parameter!$C$31*(AO35-(Parameter!$C$30*Parameter!$C$57*F35))))+Eingaben!$C$16*AO35</f>
        <v>0</v>
      </c>
      <c r="AQ35" s="43" t="n">
        <f aca="false">AB35-AP35</f>
        <v>0</v>
      </c>
      <c r="AR35" s="43" t="n">
        <f aca="false">MAX(0,AQ35-AK35)</f>
        <v>0</v>
      </c>
      <c r="AS35" s="43" t="n">
        <f aca="false">MIN(AH35,Parameter!$C$47)+AK35</f>
        <v>0</v>
      </c>
      <c r="AT35" s="43" t="n">
        <f aca="false">MAX(0,AH35-Parameter!$C$47)+AR34</f>
        <v>0</v>
      </c>
      <c r="AU35" s="43" t="n">
        <f aca="false">MAX(0,AG35-Parameter!$C$49)</f>
        <v>0</v>
      </c>
      <c r="AV35" s="43" t="n">
        <f aca="false">AG35</f>
        <v>0</v>
      </c>
      <c r="AW35" s="43" t="n">
        <f aca="false">IF(D35=0,AW34,AW34*(1+Parameter!$C$60)+P35*(1+Parameter!$C$60)^0.5)</f>
        <v>327329.147588884</v>
      </c>
      <c r="AX35" s="43" t="n">
        <f aca="false">IF(D35=0,AX34,AX34*(1+Parameter!$C$60)+Q35*(1+Parameter!$C$60)^0.5)</f>
        <v>0</v>
      </c>
      <c r="AY35" s="43" t="n">
        <f aca="false">IF(D35=0,AY34,AY34*(1+Parameter!$C$61)+AS35*(1+Parameter!$C$61)^0.5)</f>
        <v>155636.544221689</v>
      </c>
      <c r="AZ35" s="43" t="n">
        <f aca="false">IF(D35=0,AZ34,AZ34*(1+Parameter!$C$61)+AT35*(1+Parameter!$C$61)^0.5)</f>
        <v>62766.2683996872</v>
      </c>
      <c r="BA35" s="43" t="n">
        <f aca="false">IF(D35=0,BA34,BA34*(1+Parameter!$C$62)+AU35*(1+Parameter!$C$62)^0.5-BD35)</f>
        <v>0</v>
      </c>
      <c r="BB35" s="43" t="n">
        <f aca="false">IF(D35=0,BB34,BB34+AU35+BC35)</f>
        <v>0</v>
      </c>
      <c r="BC35" s="43" t="n">
        <f aca="false">MAX(0,MIN(BA34*(1+Parameter!$C$62)+AU35*(1+Parameter!$C$62)^0.5-BA34-AU35,BA34*Parameter!$C$39*Parameter!$C$40))</f>
        <v>0</v>
      </c>
      <c r="BD35" s="43" t="n">
        <f aca="false">MAX(0,BC35*(1-Parameter!$C$37)-Parameter!$C$67)*Parameter!$C$36</f>
        <v>0</v>
      </c>
      <c r="BE35" s="43" t="n">
        <f aca="false">IF(D35=0,BE34,BE34*(1+Parameter!$C$62)+AV35*(1+Parameter!$C$62)^0.5-BH35)</f>
        <v>167462.743358363</v>
      </c>
      <c r="BF35" s="43" t="n">
        <f aca="false">IF(D35=0,BF34,BF34+AV35+BG35)</f>
        <v>95281.8595308716</v>
      </c>
      <c r="BG35" s="43" t="n">
        <f aca="false">MAX(0,MIN(BE34*(1+Parameter!$C$62)+AV35*(1+Parameter!$C$62)^0.5-BE34-AV35,BE34*Parameter!$C$39*Parameter!$C$40))</f>
        <v>3751.16545122732</v>
      </c>
      <c r="BH35" s="43" t="n">
        <f aca="false">MAX(0,BG35*(1-Parameter!$C$37)-Parameter!$C$67)*Parameter!$C$36</f>
        <v>428.808921432844</v>
      </c>
      <c r="BI35" s="41" t="n">
        <f aca="false">R35/(Parameter!$C$8*E35)</f>
        <v>0</v>
      </c>
      <c r="BJ35" s="41" t="n">
        <f aca="false">BJ34+BI35</f>
        <v>1.59402433389804</v>
      </c>
    </row>
    <row r="36" customFormat="false" ht="15" hidden="false" customHeight="false" outlineLevel="0" collapsed="false">
      <c r="A36" s="30" t="n">
        <f aca="false">2026+28</f>
        <v>2054</v>
      </c>
      <c r="B36" s="30" t="n">
        <f aca="false">Eingaben!$C$5+28</f>
        <v>68</v>
      </c>
      <c r="C36" s="30" t="n">
        <f aca="false">IF(AND(B36&lt;Eingaben!$C$8,B36&lt;Eingaben!$C$6),1,0)</f>
        <v>0</v>
      </c>
      <c r="D36" s="30" t="n">
        <f aca="false">IF(B36&lt;Eingaben!$C$6,1,0)</f>
        <v>0</v>
      </c>
      <c r="E36" s="38" t="n">
        <f aca="false">(1+Eingaben!$C$13)^28</f>
        <v>1.9964950187572</v>
      </c>
      <c r="F36" s="38" t="n">
        <f aca="false">(1+Eingaben!$C$17)^28</f>
        <v>1.74102420617393</v>
      </c>
      <c r="G36" s="39" t="n">
        <f aca="false">IF(B36&gt;=Eingaben!$C$9,Eingaben!$C$10,1)</f>
        <v>0.6</v>
      </c>
      <c r="H36" s="40" t="n">
        <f aca="false">Eingaben!$C$12*E36*G36*C36</f>
        <v>0</v>
      </c>
      <c r="I36" s="40" t="n">
        <f aca="false">Parameter!$C$4*E36</f>
        <v>202444.59490198</v>
      </c>
      <c r="J36" s="40" t="n">
        <f aca="false">Parameter!$C$5*E36</f>
        <v>139255.527558315</v>
      </c>
      <c r="K36" s="40" t="n">
        <f aca="false">MIN(H36,12*(IF(Eingaben!$C$22=2,Umrechnung!$C$54,Eingaben!$C$23))*IF(Eingaben!$C$25=1,E36,1))*C36</f>
        <v>0</v>
      </c>
      <c r="L36" s="40" t="n">
        <f aca="false">MIN(K36,MAX(0,Parameter!$C$42*I36-N36))</f>
        <v>0</v>
      </c>
      <c r="M36" s="40" t="n">
        <f aca="false">MIN(K36,Parameter!$C$43*I36)</f>
        <v>0</v>
      </c>
      <c r="N36" s="40" t="n">
        <f aca="false">IF(Eingaben!$C$27=2,MIN(Eingaben!$C$26*K36,U36),Eingaben!$C$26*IF(Eingaben!$C$27=1,M36,K36))</f>
        <v>0</v>
      </c>
      <c r="O36" s="40" t="n">
        <f aca="false">K36+N36</f>
        <v>0</v>
      </c>
      <c r="P36" s="40" t="n">
        <f aca="false">MIN(O36,Parameter!$C$42*I36)</f>
        <v>0</v>
      </c>
      <c r="Q36" s="40" t="n">
        <f aca="false">O36-P36</f>
        <v>0</v>
      </c>
      <c r="R36" s="40" t="n">
        <f aca="false">MIN(H36,I36)-MIN(H36-M36,I36)</f>
        <v>0</v>
      </c>
      <c r="S36" s="40" t="n">
        <f aca="false">MIN(H36,J36)-MIN(H36-M36,J36)</f>
        <v>0</v>
      </c>
      <c r="T36" s="40" t="n">
        <f aca="false">R36*(Parameter!$C$10+Parameter!$C$11)+S36*((Parameter!$C$12+Parameter!$C$13)/2+Parameter!$C$58)</f>
        <v>0</v>
      </c>
      <c r="U36" s="40" t="n">
        <f aca="false">R36*(Parameter!$C$10+Parameter!$C$11)+S36*((Parameter!$C$12+Parameter!$C$13)/2+Parameter!$C$15)</f>
        <v>0</v>
      </c>
      <c r="V36" s="40" t="n">
        <f aca="false">MIN(H36,I36)*Parameter!$C$10+MIN(H36,J36)*(0.96*(Parameter!$C$12+Parameter!$C$13)/2+Parameter!$C$58)</f>
        <v>0</v>
      </c>
      <c r="W36" s="40" t="n">
        <f aca="false">MIN(H36-M36,I36)*Parameter!$C$10+MIN(H36-M36,J36)*(0.96*(Parameter!$C$12+Parameter!$C$13)/2+Parameter!$C$58)</f>
        <v>0</v>
      </c>
      <c r="X36" s="40" t="n">
        <f aca="false">MAX(0,H36-Parameter!$C$32*F36-Parameter!$C$33-V36)</f>
        <v>0</v>
      </c>
      <c r="Y36" s="40" t="n">
        <f aca="false">MAX(0,H36-L36-Parameter!$C$32*F36-Parameter!$C$33-W36)</f>
        <v>0</v>
      </c>
      <c r="Z36" s="40" t="n">
        <f aca="false">MAX(0,(X36+IF(Eingaben!$C$14=3,Eingaben!$C$15,0))/Parameter!$C$57/F36)</f>
        <v>0</v>
      </c>
      <c r="AA36" s="40" t="n">
        <f aca="false">Parameter!$C$57*F36*(IF(Z36&lt;=Parameter!$C$18,0,IF(Z36&lt;=Parameter!$C$19,(Parameter!$C$22*(Z36-Parameter!$C$18)/10000+Parameter!$C$23)*(Z36-Parameter!$C$18)/10000,IF(Z36&lt;=Parameter!$C$20,(Parameter!$C$24*(Z36-Parameter!$C$19)/10000+Parameter!$C$25)*(Z36-Parameter!$C$19)/10000+Parameter!$C$26,IF(Z36&lt;=Parameter!$C$21,0.42*Z36-Parameter!$C$27,0.45*Z36-Parameter!$C$28)))))</f>
        <v>0</v>
      </c>
      <c r="AB36" s="40" t="n">
        <f aca="false">AA36+IF(AA36&lt;=(Parameter!$C$30*Parameter!$C$57*F36),0,MIN(Parameter!$C$29*AA36,Parameter!$C$31*(AA36-(Parameter!$C$30*Parameter!$C$57*F36))))+Eingaben!$C$16*AA36</f>
        <v>0</v>
      </c>
      <c r="AC36" s="40" t="n">
        <f aca="false">MAX(0,(Y36+IF(Eingaben!$C$14=3,Eingaben!$C$15,0))/Parameter!$C$57/F36)</f>
        <v>0</v>
      </c>
      <c r="AD36" s="40" t="n">
        <f aca="false">Parameter!$C$57*F36*(IF(AC36&lt;=Parameter!$C$18,0,IF(AC36&lt;=Parameter!$C$19,(Parameter!$C$22*(AC36-Parameter!$C$18)/10000+Parameter!$C$23)*(AC36-Parameter!$C$18)/10000,IF(AC36&lt;=Parameter!$C$20,(Parameter!$C$24*(AC36-Parameter!$C$19)/10000+Parameter!$C$25)*(AC36-Parameter!$C$19)/10000+Parameter!$C$26,IF(AC36&lt;=Parameter!$C$21,0.42*AC36-Parameter!$C$27,0.45*AC36-Parameter!$C$28)))))</f>
        <v>0</v>
      </c>
      <c r="AE36" s="40" t="n">
        <f aca="false">AD36+IF(AD36&lt;=(Parameter!$C$30*Parameter!$C$57*F36),0,MIN(Parameter!$C$29*AD36,Parameter!$C$31*(AD36-(Parameter!$C$30*Parameter!$C$57*F36))))+Eingaben!$C$16*AD36</f>
        <v>0</v>
      </c>
      <c r="AF36" s="40" t="n">
        <f aca="false">AB36-AE36</f>
        <v>0</v>
      </c>
      <c r="AG36" s="40" t="n">
        <f aca="false">MAX(0,K36-T36-AF36)</f>
        <v>0</v>
      </c>
      <c r="AH36" s="40" t="n">
        <f aca="false">MIN(AG36,Parameter!$C$49)</f>
        <v>0</v>
      </c>
      <c r="AI36" s="40" t="n">
        <f aca="false">Parameter!$C$44*MIN(AH36,Parameter!$C$45)+Parameter!$C$46*MAX(0,MIN(AH36,Parameter!$C$47)-Parameter!$C$45)</f>
        <v>0</v>
      </c>
      <c r="AJ36" s="40" t="n">
        <f aca="false">MIN(AH36,Parameter!$C$48)*Eingaben!$C$18*IF(28&lt;Eingaben!$C$19,1,0)</f>
        <v>0</v>
      </c>
      <c r="AK36" s="40" t="n">
        <f aca="false">MIN(AI36+AJ36,MAX(0,Parameter!$C$49-AH36))</f>
        <v>0</v>
      </c>
      <c r="AL36" s="40" t="n">
        <f aca="false">MIN(MIN(AH36,Parameter!$C$47)+AK36,Parameter!$C$50)</f>
        <v>0</v>
      </c>
      <c r="AM36" s="40" t="n">
        <f aca="false">MAX(0,X36-AL36)</f>
        <v>0</v>
      </c>
      <c r="AN36" s="40" t="n">
        <f aca="false">MAX(0,(AM36+IF(Eingaben!$C$14=3,Eingaben!$C$15,0))/Parameter!$C$57/F36)</f>
        <v>0</v>
      </c>
      <c r="AO36" s="40" t="n">
        <f aca="false">Parameter!$C$57*F36*(IF(AN36&lt;=Parameter!$C$18,0,IF(AN36&lt;=Parameter!$C$19,(Parameter!$C$22*(AN36-Parameter!$C$18)/10000+Parameter!$C$23)*(AN36-Parameter!$C$18)/10000,IF(AN36&lt;=Parameter!$C$20,(Parameter!$C$24*(AN36-Parameter!$C$19)/10000+Parameter!$C$25)*(AN36-Parameter!$C$19)/10000+Parameter!$C$26,IF(AN36&lt;=Parameter!$C$21,0.42*AN36-Parameter!$C$27,0.45*AN36-Parameter!$C$28)))))</f>
        <v>0</v>
      </c>
      <c r="AP36" s="40" t="n">
        <f aca="false">AO36+IF(AO36&lt;=(Parameter!$C$30*Parameter!$C$57*F36),0,MIN(Parameter!$C$29*AO36,Parameter!$C$31*(AO36-(Parameter!$C$30*Parameter!$C$57*F36))))+Eingaben!$C$16*AO36</f>
        <v>0</v>
      </c>
      <c r="AQ36" s="40" t="n">
        <f aca="false">AB36-AP36</f>
        <v>0</v>
      </c>
      <c r="AR36" s="40" t="n">
        <f aca="false">MAX(0,AQ36-AK36)</f>
        <v>0</v>
      </c>
      <c r="AS36" s="40" t="n">
        <f aca="false">MIN(AH36,Parameter!$C$47)+AK36</f>
        <v>0</v>
      </c>
      <c r="AT36" s="40" t="n">
        <f aca="false">MAX(0,AH36-Parameter!$C$47)+AR35</f>
        <v>0</v>
      </c>
      <c r="AU36" s="40" t="n">
        <f aca="false">MAX(0,AG36-Parameter!$C$49)</f>
        <v>0</v>
      </c>
      <c r="AV36" s="40" t="n">
        <f aca="false">AG36</f>
        <v>0</v>
      </c>
      <c r="AW36" s="40" t="n">
        <f aca="false">IF(D36=0,AW35,AW35*(1+Parameter!$C$60)+P36*(1+Parameter!$C$60)^0.5)</f>
        <v>327329.147588884</v>
      </c>
      <c r="AX36" s="40" t="n">
        <f aca="false">IF(D36=0,AX35,AX35*(1+Parameter!$C$60)+Q36*(1+Parameter!$C$60)^0.5)</f>
        <v>0</v>
      </c>
      <c r="AY36" s="40" t="n">
        <f aca="false">IF(D36=0,AY35,AY35*(1+Parameter!$C$61)+AS36*(1+Parameter!$C$61)^0.5)</f>
        <v>155636.544221689</v>
      </c>
      <c r="AZ36" s="40" t="n">
        <f aca="false">IF(D36=0,AZ35,AZ35*(1+Parameter!$C$61)+AT36*(1+Parameter!$C$61)^0.5)</f>
        <v>62766.2683996872</v>
      </c>
      <c r="BA36" s="40" t="n">
        <f aca="false">IF(D36=0,BA35,BA35*(1+Parameter!$C$62)+AU36*(1+Parameter!$C$62)^0.5-BD36)</f>
        <v>0</v>
      </c>
      <c r="BB36" s="40" t="n">
        <f aca="false">IF(D36=0,BB35,BB35+AU36+BC36)</f>
        <v>0</v>
      </c>
      <c r="BC36" s="40" t="n">
        <f aca="false">MAX(0,MIN(BA35*(1+Parameter!$C$62)+AU36*(1+Parameter!$C$62)^0.5-BA35-AU36,BA35*Parameter!$C$39*Parameter!$C$40))</f>
        <v>0</v>
      </c>
      <c r="BD36" s="40" t="n">
        <f aca="false">MAX(0,BC36*(1-Parameter!$C$37)-Parameter!$C$67)*Parameter!$C$36</f>
        <v>0</v>
      </c>
      <c r="BE36" s="40" t="n">
        <f aca="false">IF(D36=0,BE35,BE35*(1+Parameter!$C$62)+AV36*(1+Parameter!$C$62)^0.5-BH36)</f>
        <v>167462.743358363</v>
      </c>
      <c r="BF36" s="40" t="n">
        <f aca="false">IF(D36=0,BF35,BF35+AV36+BG36)</f>
        <v>95281.8595308716</v>
      </c>
      <c r="BG36" s="40" t="n">
        <f aca="false">MAX(0,MIN(BE35*(1+Parameter!$C$62)+AV36*(1+Parameter!$C$62)^0.5-BE35-AV36,BE35*Parameter!$C$39*Parameter!$C$40))</f>
        <v>3751.16545122732</v>
      </c>
      <c r="BH36" s="40" t="n">
        <f aca="false">MAX(0,BG36*(1-Parameter!$C$37)-Parameter!$C$67)*Parameter!$C$36</f>
        <v>428.808921432844</v>
      </c>
      <c r="BI36" s="38" t="n">
        <f aca="false">R36/(Parameter!$C$8*E36)</f>
        <v>0</v>
      </c>
      <c r="BJ36" s="38" t="n">
        <f aca="false">BJ35+BI36</f>
        <v>1.59402433389804</v>
      </c>
    </row>
    <row r="37" customFormat="false" ht="15" hidden="false" customHeight="false" outlineLevel="0" collapsed="false">
      <c r="A37" s="32" t="n">
        <f aca="false">2026+29</f>
        <v>2055</v>
      </c>
      <c r="B37" s="32" t="n">
        <f aca="false">Eingaben!$C$5+29</f>
        <v>69</v>
      </c>
      <c r="C37" s="32" t="n">
        <f aca="false">IF(AND(B37&lt;Eingaben!$C$8,B37&lt;Eingaben!$C$6),1,0)</f>
        <v>0</v>
      </c>
      <c r="D37" s="32" t="n">
        <f aca="false">IF(B37&lt;Eingaben!$C$6,1,0)</f>
        <v>0</v>
      </c>
      <c r="E37" s="41" t="n">
        <f aca="false">(1+Eingaben!$C$13)^29</f>
        <v>2.04640739422613</v>
      </c>
      <c r="F37" s="41" t="n">
        <f aca="false">(1+Eingaben!$C$17)^29</f>
        <v>1.77584469029741</v>
      </c>
      <c r="G37" s="42" t="n">
        <f aca="false">IF(B37&gt;=Eingaben!$C$9,Eingaben!$C$10,1)</f>
        <v>0.6</v>
      </c>
      <c r="H37" s="43" t="n">
        <f aca="false">Eingaben!$C$12*E37*G37*C37</f>
        <v>0</v>
      </c>
      <c r="I37" s="43" t="n">
        <f aca="false">Parameter!$C$4*E37</f>
        <v>207505.70977453</v>
      </c>
      <c r="J37" s="43" t="n">
        <f aca="false">Parameter!$C$5*E37</f>
        <v>142736.915747273</v>
      </c>
      <c r="K37" s="43" t="n">
        <f aca="false">MIN(H37,12*(IF(Eingaben!$C$22=2,Umrechnung!$C$54,Eingaben!$C$23))*IF(Eingaben!$C$25=1,E37,1))*C37</f>
        <v>0</v>
      </c>
      <c r="L37" s="43" t="n">
        <f aca="false">MIN(K37,MAX(0,Parameter!$C$42*I37-N37))</f>
        <v>0</v>
      </c>
      <c r="M37" s="43" t="n">
        <f aca="false">MIN(K37,Parameter!$C$43*I37)</f>
        <v>0</v>
      </c>
      <c r="N37" s="43" t="n">
        <f aca="false">IF(Eingaben!$C$27=2,MIN(Eingaben!$C$26*K37,U37),Eingaben!$C$26*IF(Eingaben!$C$27=1,M37,K37))</f>
        <v>0</v>
      </c>
      <c r="O37" s="43" t="n">
        <f aca="false">K37+N37</f>
        <v>0</v>
      </c>
      <c r="P37" s="43" t="n">
        <f aca="false">MIN(O37,Parameter!$C$42*I37)</f>
        <v>0</v>
      </c>
      <c r="Q37" s="43" t="n">
        <f aca="false">O37-P37</f>
        <v>0</v>
      </c>
      <c r="R37" s="43" t="n">
        <f aca="false">MIN(H37,I37)-MIN(H37-M37,I37)</f>
        <v>0</v>
      </c>
      <c r="S37" s="43" t="n">
        <f aca="false">MIN(H37,J37)-MIN(H37-M37,J37)</f>
        <v>0</v>
      </c>
      <c r="T37" s="43" t="n">
        <f aca="false">R37*(Parameter!$C$10+Parameter!$C$11)+S37*((Parameter!$C$12+Parameter!$C$13)/2+Parameter!$C$58)</f>
        <v>0</v>
      </c>
      <c r="U37" s="43" t="n">
        <f aca="false">R37*(Parameter!$C$10+Parameter!$C$11)+S37*((Parameter!$C$12+Parameter!$C$13)/2+Parameter!$C$15)</f>
        <v>0</v>
      </c>
      <c r="V37" s="43" t="n">
        <f aca="false">MIN(H37,I37)*Parameter!$C$10+MIN(H37,J37)*(0.96*(Parameter!$C$12+Parameter!$C$13)/2+Parameter!$C$58)</f>
        <v>0</v>
      </c>
      <c r="W37" s="43" t="n">
        <f aca="false">MIN(H37-M37,I37)*Parameter!$C$10+MIN(H37-M37,J37)*(0.96*(Parameter!$C$12+Parameter!$C$13)/2+Parameter!$C$58)</f>
        <v>0</v>
      </c>
      <c r="X37" s="43" t="n">
        <f aca="false">MAX(0,H37-Parameter!$C$32*F37-Parameter!$C$33-V37)</f>
        <v>0</v>
      </c>
      <c r="Y37" s="43" t="n">
        <f aca="false">MAX(0,H37-L37-Parameter!$C$32*F37-Parameter!$C$33-W37)</f>
        <v>0</v>
      </c>
      <c r="Z37" s="43" t="n">
        <f aca="false">MAX(0,(X37+IF(Eingaben!$C$14=3,Eingaben!$C$15,0))/Parameter!$C$57/F37)</f>
        <v>0</v>
      </c>
      <c r="AA37" s="43" t="n">
        <f aca="false">Parameter!$C$57*F37*(IF(Z37&lt;=Parameter!$C$18,0,IF(Z37&lt;=Parameter!$C$19,(Parameter!$C$22*(Z37-Parameter!$C$18)/10000+Parameter!$C$23)*(Z37-Parameter!$C$18)/10000,IF(Z37&lt;=Parameter!$C$20,(Parameter!$C$24*(Z37-Parameter!$C$19)/10000+Parameter!$C$25)*(Z37-Parameter!$C$19)/10000+Parameter!$C$26,IF(Z37&lt;=Parameter!$C$21,0.42*Z37-Parameter!$C$27,0.45*Z37-Parameter!$C$28)))))</f>
        <v>0</v>
      </c>
      <c r="AB37" s="43" t="n">
        <f aca="false">AA37+IF(AA37&lt;=(Parameter!$C$30*Parameter!$C$57*F37),0,MIN(Parameter!$C$29*AA37,Parameter!$C$31*(AA37-(Parameter!$C$30*Parameter!$C$57*F37))))+Eingaben!$C$16*AA37</f>
        <v>0</v>
      </c>
      <c r="AC37" s="43" t="n">
        <f aca="false">MAX(0,(Y37+IF(Eingaben!$C$14=3,Eingaben!$C$15,0))/Parameter!$C$57/F37)</f>
        <v>0</v>
      </c>
      <c r="AD37" s="43" t="n">
        <f aca="false">Parameter!$C$57*F37*(IF(AC37&lt;=Parameter!$C$18,0,IF(AC37&lt;=Parameter!$C$19,(Parameter!$C$22*(AC37-Parameter!$C$18)/10000+Parameter!$C$23)*(AC37-Parameter!$C$18)/10000,IF(AC37&lt;=Parameter!$C$20,(Parameter!$C$24*(AC37-Parameter!$C$19)/10000+Parameter!$C$25)*(AC37-Parameter!$C$19)/10000+Parameter!$C$26,IF(AC37&lt;=Parameter!$C$21,0.42*AC37-Parameter!$C$27,0.45*AC37-Parameter!$C$28)))))</f>
        <v>0</v>
      </c>
      <c r="AE37" s="43" t="n">
        <f aca="false">AD37+IF(AD37&lt;=(Parameter!$C$30*Parameter!$C$57*F37),0,MIN(Parameter!$C$29*AD37,Parameter!$C$31*(AD37-(Parameter!$C$30*Parameter!$C$57*F37))))+Eingaben!$C$16*AD37</f>
        <v>0</v>
      </c>
      <c r="AF37" s="43" t="n">
        <f aca="false">AB37-AE37</f>
        <v>0</v>
      </c>
      <c r="AG37" s="43" t="n">
        <f aca="false">MAX(0,K37-T37-AF37)</f>
        <v>0</v>
      </c>
      <c r="AH37" s="43" t="n">
        <f aca="false">MIN(AG37,Parameter!$C$49)</f>
        <v>0</v>
      </c>
      <c r="AI37" s="43" t="n">
        <f aca="false">Parameter!$C$44*MIN(AH37,Parameter!$C$45)+Parameter!$C$46*MAX(0,MIN(AH37,Parameter!$C$47)-Parameter!$C$45)</f>
        <v>0</v>
      </c>
      <c r="AJ37" s="43" t="n">
        <f aca="false">MIN(AH37,Parameter!$C$48)*Eingaben!$C$18*IF(29&lt;Eingaben!$C$19,1,0)</f>
        <v>0</v>
      </c>
      <c r="AK37" s="43" t="n">
        <f aca="false">MIN(AI37+AJ37,MAX(0,Parameter!$C$49-AH37))</f>
        <v>0</v>
      </c>
      <c r="AL37" s="43" t="n">
        <f aca="false">MIN(MIN(AH37,Parameter!$C$47)+AK37,Parameter!$C$50)</f>
        <v>0</v>
      </c>
      <c r="AM37" s="43" t="n">
        <f aca="false">MAX(0,X37-AL37)</f>
        <v>0</v>
      </c>
      <c r="AN37" s="43" t="n">
        <f aca="false">MAX(0,(AM37+IF(Eingaben!$C$14=3,Eingaben!$C$15,0))/Parameter!$C$57/F37)</f>
        <v>0</v>
      </c>
      <c r="AO37" s="43" t="n">
        <f aca="false">Parameter!$C$57*F37*(IF(AN37&lt;=Parameter!$C$18,0,IF(AN37&lt;=Parameter!$C$19,(Parameter!$C$22*(AN37-Parameter!$C$18)/10000+Parameter!$C$23)*(AN37-Parameter!$C$18)/10000,IF(AN37&lt;=Parameter!$C$20,(Parameter!$C$24*(AN37-Parameter!$C$19)/10000+Parameter!$C$25)*(AN37-Parameter!$C$19)/10000+Parameter!$C$26,IF(AN37&lt;=Parameter!$C$21,0.42*AN37-Parameter!$C$27,0.45*AN37-Parameter!$C$28)))))</f>
        <v>0</v>
      </c>
      <c r="AP37" s="43" t="n">
        <f aca="false">AO37+IF(AO37&lt;=(Parameter!$C$30*Parameter!$C$57*F37),0,MIN(Parameter!$C$29*AO37,Parameter!$C$31*(AO37-(Parameter!$C$30*Parameter!$C$57*F37))))+Eingaben!$C$16*AO37</f>
        <v>0</v>
      </c>
      <c r="AQ37" s="43" t="n">
        <f aca="false">AB37-AP37</f>
        <v>0</v>
      </c>
      <c r="AR37" s="43" t="n">
        <f aca="false">MAX(0,AQ37-AK37)</f>
        <v>0</v>
      </c>
      <c r="AS37" s="43" t="n">
        <f aca="false">MIN(AH37,Parameter!$C$47)+AK37</f>
        <v>0</v>
      </c>
      <c r="AT37" s="43" t="n">
        <f aca="false">MAX(0,AH37-Parameter!$C$47)+AR36</f>
        <v>0</v>
      </c>
      <c r="AU37" s="43" t="n">
        <f aca="false">MAX(0,AG37-Parameter!$C$49)</f>
        <v>0</v>
      </c>
      <c r="AV37" s="43" t="n">
        <f aca="false">AG37</f>
        <v>0</v>
      </c>
      <c r="AW37" s="43" t="n">
        <f aca="false">IF(D37=0,AW36,AW36*(1+Parameter!$C$60)+P37*(1+Parameter!$C$60)^0.5)</f>
        <v>327329.147588884</v>
      </c>
      <c r="AX37" s="43" t="n">
        <f aca="false">IF(D37=0,AX36,AX36*(1+Parameter!$C$60)+Q37*(1+Parameter!$C$60)^0.5)</f>
        <v>0</v>
      </c>
      <c r="AY37" s="43" t="n">
        <f aca="false">IF(D37=0,AY36,AY36*(1+Parameter!$C$61)+AS37*(1+Parameter!$C$61)^0.5)</f>
        <v>155636.544221689</v>
      </c>
      <c r="AZ37" s="43" t="n">
        <f aca="false">IF(D37=0,AZ36,AZ36*(1+Parameter!$C$61)+AT37*(1+Parameter!$C$61)^0.5)</f>
        <v>62766.2683996872</v>
      </c>
      <c r="BA37" s="43" t="n">
        <f aca="false">IF(D37=0,BA36,BA36*(1+Parameter!$C$62)+AU37*(1+Parameter!$C$62)^0.5-BD37)</f>
        <v>0</v>
      </c>
      <c r="BB37" s="43" t="n">
        <f aca="false">IF(D37=0,BB36,BB36+AU37+BC37)</f>
        <v>0</v>
      </c>
      <c r="BC37" s="43" t="n">
        <f aca="false">MAX(0,MIN(BA36*(1+Parameter!$C$62)+AU37*(1+Parameter!$C$62)^0.5-BA36-AU37,BA36*Parameter!$C$39*Parameter!$C$40))</f>
        <v>0</v>
      </c>
      <c r="BD37" s="43" t="n">
        <f aca="false">MAX(0,BC37*(1-Parameter!$C$37)-Parameter!$C$67)*Parameter!$C$36</f>
        <v>0</v>
      </c>
      <c r="BE37" s="43" t="n">
        <f aca="false">IF(D37=0,BE36,BE36*(1+Parameter!$C$62)+AV37*(1+Parameter!$C$62)^0.5-BH37)</f>
        <v>167462.743358363</v>
      </c>
      <c r="BF37" s="43" t="n">
        <f aca="false">IF(D37=0,BF36,BF36+AV37+BG37)</f>
        <v>95281.8595308716</v>
      </c>
      <c r="BG37" s="43" t="n">
        <f aca="false">MAX(0,MIN(BE36*(1+Parameter!$C$62)+AV37*(1+Parameter!$C$62)^0.5-BE36-AV37,BE36*Parameter!$C$39*Parameter!$C$40))</f>
        <v>3751.16545122732</v>
      </c>
      <c r="BH37" s="43" t="n">
        <f aca="false">MAX(0,BG37*(1-Parameter!$C$37)-Parameter!$C$67)*Parameter!$C$36</f>
        <v>428.808921432844</v>
      </c>
      <c r="BI37" s="41" t="n">
        <f aca="false">R37/(Parameter!$C$8*E37)</f>
        <v>0</v>
      </c>
      <c r="BJ37" s="41" t="n">
        <f aca="false">BJ36+BI37</f>
        <v>1.59402433389804</v>
      </c>
    </row>
    <row r="38" customFormat="false" ht="15" hidden="false" customHeight="false" outlineLevel="0" collapsed="false">
      <c r="A38" s="30" t="n">
        <f aca="false">2026+30</f>
        <v>2056</v>
      </c>
      <c r="B38" s="30" t="n">
        <f aca="false">Eingaben!$C$5+30</f>
        <v>70</v>
      </c>
      <c r="C38" s="30" t="n">
        <f aca="false">IF(AND(B38&lt;Eingaben!$C$8,B38&lt;Eingaben!$C$6),1,0)</f>
        <v>0</v>
      </c>
      <c r="D38" s="30" t="n">
        <f aca="false">IF(B38&lt;Eingaben!$C$6,1,0)</f>
        <v>0</v>
      </c>
      <c r="E38" s="38" t="n">
        <f aca="false">(1+Eingaben!$C$13)^30</f>
        <v>2.09756757908179</v>
      </c>
      <c r="F38" s="38" t="n">
        <f aca="false">(1+Eingaben!$C$17)^30</f>
        <v>1.81136158410335</v>
      </c>
      <c r="G38" s="39" t="n">
        <f aca="false">IF(B38&gt;=Eingaben!$C$9,Eingaben!$C$10,1)</f>
        <v>0.6</v>
      </c>
      <c r="H38" s="40" t="n">
        <f aca="false">Eingaben!$C$12*E38*G38*C38</f>
        <v>0</v>
      </c>
      <c r="I38" s="40" t="n">
        <f aca="false">Parameter!$C$4*E38</f>
        <v>212693.352518893</v>
      </c>
      <c r="J38" s="40" t="n">
        <f aca="false">Parameter!$C$5*E38</f>
        <v>146305.338640955</v>
      </c>
      <c r="K38" s="40" t="n">
        <f aca="false">MIN(H38,12*(IF(Eingaben!$C$22=2,Umrechnung!$C$54,Eingaben!$C$23))*IF(Eingaben!$C$25=1,E38,1))*C38</f>
        <v>0</v>
      </c>
      <c r="L38" s="40" t="n">
        <f aca="false">MIN(K38,MAX(0,Parameter!$C$42*I38-N38))</f>
        <v>0</v>
      </c>
      <c r="M38" s="40" t="n">
        <f aca="false">MIN(K38,Parameter!$C$43*I38)</f>
        <v>0</v>
      </c>
      <c r="N38" s="40" t="n">
        <f aca="false">IF(Eingaben!$C$27=2,MIN(Eingaben!$C$26*K38,U38),Eingaben!$C$26*IF(Eingaben!$C$27=1,M38,K38))</f>
        <v>0</v>
      </c>
      <c r="O38" s="40" t="n">
        <f aca="false">K38+N38</f>
        <v>0</v>
      </c>
      <c r="P38" s="40" t="n">
        <f aca="false">MIN(O38,Parameter!$C$42*I38)</f>
        <v>0</v>
      </c>
      <c r="Q38" s="40" t="n">
        <f aca="false">O38-P38</f>
        <v>0</v>
      </c>
      <c r="R38" s="40" t="n">
        <f aca="false">MIN(H38,I38)-MIN(H38-M38,I38)</f>
        <v>0</v>
      </c>
      <c r="S38" s="40" t="n">
        <f aca="false">MIN(H38,J38)-MIN(H38-M38,J38)</f>
        <v>0</v>
      </c>
      <c r="T38" s="40" t="n">
        <f aca="false">R38*(Parameter!$C$10+Parameter!$C$11)+S38*((Parameter!$C$12+Parameter!$C$13)/2+Parameter!$C$58)</f>
        <v>0</v>
      </c>
      <c r="U38" s="40" t="n">
        <f aca="false">R38*(Parameter!$C$10+Parameter!$C$11)+S38*((Parameter!$C$12+Parameter!$C$13)/2+Parameter!$C$15)</f>
        <v>0</v>
      </c>
      <c r="V38" s="40" t="n">
        <f aca="false">MIN(H38,I38)*Parameter!$C$10+MIN(H38,J38)*(0.96*(Parameter!$C$12+Parameter!$C$13)/2+Parameter!$C$58)</f>
        <v>0</v>
      </c>
      <c r="W38" s="40" t="n">
        <f aca="false">MIN(H38-M38,I38)*Parameter!$C$10+MIN(H38-M38,J38)*(0.96*(Parameter!$C$12+Parameter!$C$13)/2+Parameter!$C$58)</f>
        <v>0</v>
      </c>
      <c r="X38" s="40" t="n">
        <f aca="false">MAX(0,H38-Parameter!$C$32*F38-Parameter!$C$33-V38)</f>
        <v>0</v>
      </c>
      <c r="Y38" s="40" t="n">
        <f aca="false">MAX(0,H38-L38-Parameter!$C$32*F38-Parameter!$C$33-W38)</f>
        <v>0</v>
      </c>
      <c r="Z38" s="40" t="n">
        <f aca="false">MAX(0,(X38+IF(Eingaben!$C$14=3,Eingaben!$C$15,0))/Parameter!$C$57/F38)</f>
        <v>0</v>
      </c>
      <c r="AA38" s="40" t="n">
        <f aca="false">Parameter!$C$57*F38*(IF(Z38&lt;=Parameter!$C$18,0,IF(Z38&lt;=Parameter!$C$19,(Parameter!$C$22*(Z38-Parameter!$C$18)/10000+Parameter!$C$23)*(Z38-Parameter!$C$18)/10000,IF(Z38&lt;=Parameter!$C$20,(Parameter!$C$24*(Z38-Parameter!$C$19)/10000+Parameter!$C$25)*(Z38-Parameter!$C$19)/10000+Parameter!$C$26,IF(Z38&lt;=Parameter!$C$21,0.42*Z38-Parameter!$C$27,0.45*Z38-Parameter!$C$28)))))</f>
        <v>0</v>
      </c>
      <c r="AB38" s="40" t="n">
        <f aca="false">AA38+IF(AA38&lt;=(Parameter!$C$30*Parameter!$C$57*F38),0,MIN(Parameter!$C$29*AA38,Parameter!$C$31*(AA38-(Parameter!$C$30*Parameter!$C$57*F38))))+Eingaben!$C$16*AA38</f>
        <v>0</v>
      </c>
      <c r="AC38" s="40" t="n">
        <f aca="false">MAX(0,(Y38+IF(Eingaben!$C$14=3,Eingaben!$C$15,0))/Parameter!$C$57/F38)</f>
        <v>0</v>
      </c>
      <c r="AD38" s="40" t="n">
        <f aca="false">Parameter!$C$57*F38*(IF(AC38&lt;=Parameter!$C$18,0,IF(AC38&lt;=Parameter!$C$19,(Parameter!$C$22*(AC38-Parameter!$C$18)/10000+Parameter!$C$23)*(AC38-Parameter!$C$18)/10000,IF(AC38&lt;=Parameter!$C$20,(Parameter!$C$24*(AC38-Parameter!$C$19)/10000+Parameter!$C$25)*(AC38-Parameter!$C$19)/10000+Parameter!$C$26,IF(AC38&lt;=Parameter!$C$21,0.42*AC38-Parameter!$C$27,0.45*AC38-Parameter!$C$28)))))</f>
        <v>0</v>
      </c>
      <c r="AE38" s="40" t="n">
        <f aca="false">AD38+IF(AD38&lt;=(Parameter!$C$30*Parameter!$C$57*F38),0,MIN(Parameter!$C$29*AD38,Parameter!$C$31*(AD38-(Parameter!$C$30*Parameter!$C$57*F38))))+Eingaben!$C$16*AD38</f>
        <v>0</v>
      </c>
      <c r="AF38" s="40" t="n">
        <f aca="false">AB38-AE38</f>
        <v>0</v>
      </c>
      <c r="AG38" s="40" t="n">
        <f aca="false">MAX(0,K38-T38-AF38)</f>
        <v>0</v>
      </c>
      <c r="AH38" s="40" t="n">
        <f aca="false">MIN(AG38,Parameter!$C$49)</f>
        <v>0</v>
      </c>
      <c r="AI38" s="40" t="n">
        <f aca="false">Parameter!$C$44*MIN(AH38,Parameter!$C$45)+Parameter!$C$46*MAX(0,MIN(AH38,Parameter!$C$47)-Parameter!$C$45)</f>
        <v>0</v>
      </c>
      <c r="AJ38" s="40" t="n">
        <f aca="false">MIN(AH38,Parameter!$C$48)*Eingaben!$C$18*IF(30&lt;Eingaben!$C$19,1,0)</f>
        <v>0</v>
      </c>
      <c r="AK38" s="40" t="n">
        <f aca="false">MIN(AI38+AJ38,MAX(0,Parameter!$C$49-AH38))</f>
        <v>0</v>
      </c>
      <c r="AL38" s="40" t="n">
        <f aca="false">MIN(MIN(AH38,Parameter!$C$47)+AK38,Parameter!$C$50)</f>
        <v>0</v>
      </c>
      <c r="AM38" s="40" t="n">
        <f aca="false">MAX(0,X38-AL38)</f>
        <v>0</v>
      </c>
      <c r="AN38" s="40" t="n">
        <f aca="false">MAX(0,(AM38+IF(Eingaben!$C$14=3,Eingaben!$C$15,0))/Parameter!$C$57/F38)</f>
        <v>0</v>
      </c>
      <c r="AO38" s="40" t="n">
        <f aca="false">Parameter!$C$57*F38*(IF(AN38&lt;=Parameter!$C$18,0,IF(AN38&lt;=Parameter!$C$19,(Parameter!$C$22*(AN38-Parameter!$C$18)/10000+Parameter!$C$23)*(AN38-Parameter!$C$18)/10000,IF(AN38&lt;=Parameter!$C$20,(Parameter!$C$24*(AN38-Parameter!$C$19)/10000+Parameter!$C$25)*(AN38-Parameter!$C$19)/10000+Parameter!$C$26,IF(AN38&lt;=Parameter!$C$21,0.42*AN38-Parameter!$C$27,0.45*AN38-Parameter!$C$28)))))</f>
        <v>0</v>
      </c>
      <c r="AP38" s="40" t="n">
        <f aca="false">AO38+IF(AO38&lt;=(Parameter!$C$30*Parameter!$C$57*F38),0,MIN(Parameter!$C$29*AO38,Parameter!$C$31*(AO38-(Parameter!$C$30*Parameter!$C$57*F38))))+Eingaben!$C$16*AO38</f>
        <v>0</v>
      </c>
      <c r="AQ38" s="40" t="n">
        <f aca="false">AB38-AP38</f>
        <v>0</v>
      </c>
      <c r="AR38" s="40" t="n">
        <f aca="false">MAX(0,AQ38-AK38)</f>
        <v>0</v>
      </c>
      <c r="AS38" s="40" t="n">
        <f aca="false">MIN(AH38,Parameter!$C$47)+AK38</f>
        <v>0</v>
      </c>
      <c r="AT38" s="40" t="n">
        <f aca="false">MAX(0,AH38-Parameter!$C$47)+AR37</f>
        <v>0</v>
      </c>
      <c r="AU38" s="40" t="n">
        <f aca="false">MAX(0,AG38-Parameter!$C$49)</f>
        <v>0</v>
      </c>
      <c r="AV38" s="40" t="n">
        <f aca="false">AG38</f>
        <v>0</v>
      </c>
      <c r="AW38" s="40" t="n">
        <f aca="false">IF(D38=0,AW37,AW37*(1+Parameter!$C$60)+P38*(1+Parameter!$C$60)^0.5)</f>
        <v>327329.147588884</v>
      </c>
      <c r="AX38" s="40" t="n">
        <f aca="false">IF(D38=0,AX37,AX37*(1+Parameter!$C$60)+Q38*(1+Parameter!$C$60)^0.5)</f>
        <v>0</v>
      </c>
      <c r="AY38" s="40" t="n">
        <f aca="false">IF(D38=0,AY37,AY37*(1+Parameter!$C$61)+AS38*(1+Parameter!$C$61)^0.5)</f>
        <v>155636.544221689</v>
      </c>
      <c r="AZ38" s="40" t="n">
        <f aca="false">IF(D38=0,AZ37,AZ37*(1+Parameter!$C$61)+AT38*(1+Parameter!$C$61)^0.5)</f>
        <v>62766.2683996872</v>
      </c>
      <c r="BA38" s="40" t="n">
        <f aca="false">IF(D38=0,BA37,BA37*(1+Parameter!$C$62)+AU38*(1+Parameter!$C$62)^0.5-BD38)</f>
        <v>0</v>
      </c>
      <c r="BB38" s="40" t="n">
        <f aca="false">IF(D38=0,BB37,BB37+AU38+BC38)</f>
        <v>0</v>
      </c>
      <c r="BC38" s="40" t="n">
        <f aca="false">MAX(0,MIN(BA37*(1+Parameter!$C$62)+AU38*(1+Parameter!$C$62)^0.5-BA37-AU38,BA37*Parameter!$C$39*Parameter!$C$40))</f>
        <v>0</v>
      </c>
      <c r="BD38" s="40" t="n">
        <f aca="false">MAX(0,BC38*(1-Parameter!$C$37)-Parameter!$C$67)*Parameter!$C$36</f>
        <v>0</v>
      </c>
      <c r="BE38" s="40" t="n">
        <f aca="false">IF(D38=0,BE37,BE37*(1+Parameter!$C$62)+AV38*(1+Parameter!$C$62)^0.5-BH38)</f>
        <v>167462.743358363</v>
      </c>
      <c r="BF38" s="40" t="n">
        <f aca="false">IF(D38=0,BF37,BF37+AV38+BG38)</f>
        <v>95281.8595308716</v>
      </c>
      <c r="BG38" s="40" t="n">
        <f aca="false">MAX(0,MIN(BE37*(1+Parameter!$C$62)+AV38*(1+Parameter!$C$62)^0.5-BE37-AV38,BE37*Parameter!$C$39*Parameter!$C$40))</f>
        <v>3751.16545122732</v>
      </c>
      <c r="BH38" s="40" t="n">
        <f aca="false">MAX(0,BG38*(1-Parameter!$C$37)-Parameter!$C$67)*Parameter!$C$36</f>
        <v>428.808921432844</v>
      </c>
      <c r="BI38" s="38" t="n">
        <f aca="false">R38/(Parameter!$C$8*E38)</f>
        <v>0</v>
      </c>
      <c r="BJ38" s="38" t="n">
        <f aca="false">BJ37+BI38</f>
        <v>1.59402433389804</v>
      </c>
    </row>
    <row r="39" customFormat="false" ht="15" hidden="false" customHeight="false" outlineLevel="0" collapsed="false">
      <c r="A39" s="32" t="n">
        <f aca="false">2026+31</f>
        <v>2057</v>
      </c>
      <c r="B39" s="32" t="n">
        <f aca="false">Eingaben!$C$5+31</f>
        <v>71</v>
      </c>
      <c r="C39" s="32" t="n">
        <f aca="false">IF(AND(B39&lt;Eingaben!$C$8,B39&lt;Eingaben!$C$6),1,0)</f>
        <v>0</v>
      </c>
      <c r="D39" s="32" t="n">
        <f aca="false">IF(B39&lt;Eingaben!$C$6,1,0)</f>
        <v>0</v>
      </c>
      <c r="E39" s="41" t="n">
        <f aca="false">(1+Eingaben!$C$13)^31</f>
        <v>2.15000676855883</v>
      </c>
      <c r="F39" s="41" t="n">
        <f aca="false">(1+Eingaben!$C$17)^31</f>
        <v>1.84758881578542</v>
      </c>
      <c r="G39" s="42" t="n">
        <f aca="false">IF(B39&gt;=Eingaben!$C$9,Eingaben!$C$10,1)</f>
        <v>0.6</v>
      </c>
      <c r="H39" s="43" t="n">
        <f aca="false">Eingaben!$C$12*E39*G39*C39</f>
        <v>0</v>
      </c>
      <c r="I39" s="43" t="n">
        <f aca="false">Parameter!$C$4*E39</f>
        <v>218010.686331865</v>
      </c>
      <c r="J39" s="43" t="n">
        <f aca="false">Parameter!$C$5*E39</f>
        <v>149962.972106978</v>
      </c>
      <c r="K39" s="43" t="n">
        <f aca="false">MIN(H39,12*(IF(Eingaben!$C$22=2,Umrechnung!$C$54,Eingaben!$C$23))*IF(Eingaben!$C$25=1,E39,1))*C39</f>
        <v>0</v>
      </c>
      <c r="L39" s="43" t="n">
        <f aca="false">MIN(K39,MAX(0,Parameter!$C$42*I39-N39))</f>
        <v>0</v>
      </c>
      <c r="M39" s="43" t="n">
        <f aca="false">MIN(K39,Parameter!$C$43*I39)</f>
        <v>0</v>
      </c>
      <c r="N39" s="43" t="n">
        <f aca="false">IF(Eingaben!$C$27=2,MIN(Eingaben!$C$26*K39,U39),Eingaben!$C$26*IF(Eingaben!$C$27=1,M39,K39))</f>
        <v>0</v>
      </c>
      <c r="O39" s="43" t="n">
        <f aca="false">K39+N39</f>
        <v>0</v>
      </c>
      <c r="P39" s="43" t="n">
        <f aca="false">MIN(O39,Parameter!$C$42*I39)</f>
        <v>0</v>
      </c>
      <c r="Q39" s="43" t="n">
        <f aca="false">O39-P39</f>
        <v>0</v>
      </c>
      <c r="R39" s="43" t="n">
        <f aca="false">MIN(H39,I39)-MIN(H39-M39,I39)</f>
        <v>0</v>
      </c>
      <c r="S39" s="43" t="n">
        <f aca="false">MIN(H39,J39)-MIN(H39-M39,J39)</f>
        <v>0</v>
      </c>
      <c r="T39" s="43" t="n">
        <f aca="false">R39*(Parameter!$C$10+Parameter!$C$11)+S39*((Parameter!$C$12+Parameter!$C$13)/2+Parameter!$C$58)</f>
        <v>0</v>
      </c>
      <c r="U39" s="43" t="n">
        <f aca="false">R39*(Parameter!$C$10+Parameter!$C$11)+S39*((Parameter!$C$12+Parameter!$C$13)/2+Parameter!$C$15)</f>
        <v>0</v>
      </c>
      <c r="V39" s="43" t="n">
        <f aca="false">MIN(H39,I39)*Parameter!$C$10+MIN(H39,J39)*(0.96*(Parameter!$C$12+Parameter!$C$13)/2+Parameter!$C$58)</f>
        <v>0</v>
      </c>
      <c r="W39" s="43" t="n">
        <f aca="false">MIN(H39-M39,I39)*Parameter!$C$10+MIN(H39-M39,J39)*(0.96*(Parameter!$C$12+Parameter!$C$13)/2+Parameter!$C$58)</f>
        <v>0</v>
      </c>
      <c r="X39" s="43" t="n">
        <f aca="false">MAX(0,H39-Parameter!$C$32*F39-Parameter!$C$33-V39)</f>
        <v>0</v>
      </c>
      <c r="Y39" s="43" t="n">
        <f aca="false">MAX(0,H39-L39-Parameter!$C$32*F39-Parameter!$C$33-W39)</f>
        <v>0</v>
      </c>
      <c r="Z39" s="43" t="n">
        <f aca="false">MAX(0,(X39+IF(Eingaben!$C$14=3,Eingaben!$C$15,0))/Parameter!$C$57/F39)</f>
        <v>0</v>
      </c>
      <c r="AA39" s="43" t="n">
        <f aca="false">Parameter!$C$57*F39*(IF(Z39&lt;=Parameter!$C$18,0,IF(Z39&lt;=Parameter!$C$19,(Parameter!$C$22*(Z39-Parameter!$C$18)/10000+Parameter!$C$23)*(Z39-Parameter!$C$18)/10000,IF(Z39&lt;=Parameter!$C$20,(Parameter!$C$24*(Z39-Parameter!$C$19)/10000+Parameter!$C$25)*(Z39-Parameter!$C$19)/10000+Parameter!$C$26,IF(Z39&lt;=Parameter!$C$21,0.42*Z39-Parameter!$C$27,0.45*Z39-Parameter!$C$28)))))</f>
        <v>0</v>
      </c>
      <c r="AB39" s="43" t="n">
        <f aca="false">AA39+IF(AA39&lt;=(Parameter!$C$30*Parameter!$C$57*F39),0,MIN(Parameter!$C$29*AA39,Parameter!$C$31*(AA39-(Parameter!$C$30*Parameter!$C$57*F39))))+Eingaben!$C$16*AA39</f>
        <v>0</v>
      </c>
      <c r="AC39" s="43" t="n">
        <f aca="false">MAX(0,(Y39+IF(Eingaben!$C$14=3,Eingaben!$C$15,0))/Parameter!$C$57/F39)</f>
        <v>0</v>
      </c>
      <c r="AD39" s="43" t="n">
        <f aca="false">Parameter!$C$57*F39*(IF(AC39&lt;=Parameter!$C$18,0,IF(AC39&lt;=Parameter!$C$19,(Parameter!$C$22*(AC39-Parameter!$C$18)/10000+Parameter!$C$23)*(AC39-Parameter!$C$18)/10000,IF(AC39&lt;=Parameter!$C$20,(Parameter!$C$24*(AC39-Parameter!$C$19)/10000+Parameter!$C$25)*(AC39-Parameter!$C$19)/10000+Parameter!$C$26,IF(AC39&lt;=Parameter!$C$21,0.42*AC39-Parameter!$C$27,0.45*AC39-Parameter!$C$28)))))</f>
        <v>0</v>
      </c>
      <c r="AE39" s="43" t="n">
        <f aca="false">AD39+IF(AD39&lt;=(Parameter!$C$30*Parameter!$C$57*F39),0,MIN(Parameter!$C$29*AD39,Parameter!$C$31*(AD39-(Parameter!$C$30*Parameter!$C$57*F39))))+Eingaben!$C$16*AD39</f>
        <v>0</v>
      </c>
      <c r="AF39" s="43" t="n">
        <f aca="false">AB39-AE39</f>
        <v>0</v>
      </c>
      <c r="AG39" s="43" t="n">
        <f aca="false">MAX(0,K39-T39-AF39)</f>
        <v>0</v>
      </c>
      <c r="AH39" s="43" t="n">
        <f aca="false">MIN(AG39,Parameter!$C$49)</f>
        <v>0</v>
      </c>
      <c r="AI39" s="43" t="n">
        <f aca="false">Parameter!$C$44*MIN(AH39,Parameter!$C$45)+Parameter!$C$46*MAX(0,MIN(AH39,Parameter!$C$47)-Parameter!$C$45)</f>
        <v>0</v>
      </c>
      <c r="AJ39" s="43" t="n">
        <f aca="false">MIN(AH39,Parameter!$C$48)*Eingaben!$C$18*IF(31&lt;Eingaben!$C$19,1,0)</f>
        <v>0</v>
      </c>
      <c r="AK39" s="43" t="n">
        <f aca="false">MIN(AI39+AJ39,MAX(0,Parameter!$C$49-AH39))</f>
        <v>0</v>
      </c>
      <c r="AL39" s="43" t="n">
        <f aca="false">MIN(MIN(AH39,Parameter!$C$47)+AK39,Parameter!$C$50)</f>
        <v>0</v>
      </c>
      <c r="AM39" s="43" t="n">
        <f aca="false">MAX(0,X39-AL39)</f>
        <v>0</v>
      </c>
      <c r="AN39" s="43" t="n">
        <f aca="false">MAX(0,(AM39+IF(Eingaben!$C$14=3,Eingaben!$C$15,0))/Parameter!$C$57/F39)</f>
        <v>0</v>
      </c>
      <c r="AO39" s="43" t="n">
        <f aca="false">Parameter!$C$57*F39*(IF(AN39&lt;=Parameter!$C$18,0,IF(AN39&lt;=Parameter!$C$19,(Parameter!$C$22*(AN39-Parameter!$C$18)/10000+Parameter!$C$23)*(AN39-Parameter!$C$18)/10000,IF(AN39&lt;=Parameter!$C$20,(Parameter!$C$24*(AN39-Parameter!$C$19)/10000+Parameter!$C$25)*(AN39-Parameter!$C$19)/10000+Parameter!$C$26,IF(AN39&lt;=Parameter!$C$21,0.42*AN39-Parameter!$C$27,0.45*AN39-Parameter!$C$28)))))</f>
        <v>0</v>
      </c>
      <c r="AP39" s="43" t="n">
        <f aca="false">AO39+IF(AO39&lt;=(Parameter!$C$30*Parameter!$C$57*F39),0,MIN(Parameter!$C$29*AO39,Parameter!$C$31*(AO39-(Parameter!$C$30*Parameter!$C$57*F39))))+Eingaben!$C$16*AO39</f>
        <v>0</v>
      </c>
      <c r="AQ39" s="43" t="n">
        <f aca="false">AB39-AP39</f>
        <v>0</v>
      </c>
      <c r="AR39" s="43" t="n">
        <f aca="false">MAX(0,AQ39-AK39)</f>
        <v>0</v>
      </c>
      <c r="AS39" s="43" t="n">
        <f aca="false">MIN(AH39,Parameter!$C$47)+AK39</f>
        <v>0</v>
      </c>
      <c r="AT39" s="43" t="n">
        <f aca="false">MAX(0,AH39-Parameter!$C$47)+AR38</f>
        <v>0</v>
      </c>
      <c r="AU39" s="43" t="n">
        <f aca="false">MAX(0,AG39-Parameter!$C$49)</f>
        <v>0</v>
      </c>
      <c r="AV39" s="43" t="n">
        <f aca="false">AG39</f>
        <v>0</v>
      </c>
      <c r="AW39" s="43" t="n">
        <f aca="false">IF(D39=0,AW38,AW38*(1+Parameter!$C$60)+P39*(1+Parameter!$C$60)^0.5)</f>
        <v>327329.147588884</v>
      </c>
      <c r="AX39" s="43" t="n">
        <f aca="false">IF(D39=0,AX38,AX38*(1+Parameter!$C$60)+Q39*(1+Parameter!$C$60)^0.5)</f>
        <v>0</v>
      </c>
      <c r="AY39" s="43" t="n">
        <f aca="false">IF(D39=0,AY38,AY38*(1+Parameter!$C$61)+AS39*(1+Parameter!$C$61)^0.5)</f>
        <v>155636.544221689</v>
      </c>
      <c r="AZ39" s="43" t="n">
        <f aca="false">IF(D39=0,AZ38,AZ38*(1+Parameter!$C$61)+AT39*(1+Parameter!$C$61)^0.5)</f>
        <v>62766.2683996872</v>
      </c>
      <c r="BA39" s="43" t="n">
        <f aca="false">IF(D39=0,BA38,BA38*(1+Parameter!$C$62)+AU39*(1+Parameter!$C$62)^0.5-BD39)</f>
        <v>0</v>
      </c>
      <c r="BB39" s="43" t="n">
        <f aca="false">IF(D39=0,BB38,BB38+AU39+BC39)</f>
        <v>0</v>
      </c>
      <c r="BC39" s="43" t="n">
        <f aca="false">MAX(0,MIN(BA38*(1+Parameter!$C$62)+AU39*(1+Parameter!$C$62)^0.5-BA38-AU39,BA38*Parameter!$C$39*Parameter!$C$40))</f>
        <v>0</v>
      </c>
      <c r="BD39" s="43" t="n">
        <f aca="false">MAX(0,BC39*(1-Parameter!$C$37)-Parameter!$C$67)*Parameter!$C$36</f>
        <v>0</v>
      </c>
      <c r="BE39" s="43" t="n">
        <f aca="false">IF(D39=0,BE38,BE38*(1+Parameter!$C$62)+AV39*(1+Parameter!$C$62)^0.5-BH39)</f>
        <v>167462.743358363</v>
      </c>
      <c r="BF39" s="43" t="n">
        <f aca="false">IF(D39=0,BF38,BF38+AV39+BG39)</f>
        <v>95281.8595308716</v>
      </c>
      <c r="BG39" s="43" t="n">
        <f aca="false">MAX(0,MIN(BE38*(1+Parameter!$C$62)+AV39*(1+Parameter!$C$62)^0.5-BE38-AV39,BE38*Parameter!$C$39*Parameter!$C$40))</f>
        <v>3751.16545122732</v>
      </c>
      <c r="BH39" s="43" t="n">
        <f aca="false">MAX(0,BG39*(1-Parameter!$C$37)-Parameter!$C$67)*Parameter!$C$36</f>
        <v>428.808921432844</v>
      </c>
      <c r="BI39" s="41" t="n">
        <f aca="false">R39/(Parameter!$C$8*E39)</f>
        <v>0</v>
      </c>
      <c r="BJ39" s="41" t="n">
        <f aca="false">BJ38+BI39</f>
        <v>1.59402433389804</v>
      </c>
    </row>
    <row r="40" customFormat="false" ht="15" hidden="false" customHeight="false" outlineLevel="0" collapsed="false">
      <c r="A40" s="30" t="n">
        <f aca="false">2026+32</f>
        <v>2058</v>
      </c>
      <c r="B40" s="30" t="n">
        <f aca="false">Eingaben!$C$5+32</f>
        <v>72</v>
      </c>
      <c r="C40" s="30" t="n">
        <f aca="false">IF(AND(B40&lt;Eingaben!$C$8,B40&lt;Eingaben!$C$6),1,0)</f>
        <v>0</v>
      </c>
      <c r="D40" s="30" t="n">
        <f aca="false">IF(B40&lt;Eingaben!$C$6,1,0)</f>
        <v>0</v>
      </c>
      <c r="E40" s="38" t="n">
        <f aca="false">(1+Eingaben!$C$13)^32</f>
        <v>2.2037569377728</v>
      </c>
      <c r="F40" s="38" t="n">
        <f aca="false">(1+Eingaben!$C$17)^32</f>
        <v>1.88454059210113</v>
      </c>
      <c r="G40" s="39" t="n">
        <f aca="false">IF(B40&gt;=Eingaben!$C$9,Eingaben!$C$10,1)</f>
        <v>0.6</v>
      </c>
      <c r="H40" s="40" t="n">
        <f aca="false">Eingaben!$C$12*E40*G40*C40</f>
        <v>0</v>
      </c>
      <c r="I40" s="40" t="n">
        <f aca="false">Parameter!$C$4*E40</f>
        <v>223460.953490162</v>
      </c>
      <c r="J40" s="40" t="n">
        <f aca="false">Parameter!$C$5*E40</f>
        <v>153712.046409653</v>
      </c>
      <c r="K40" s="40" t="n">
        <f aca="false">MIN(H40,12*(IF(Eingaben!$C$22=2,Umrechnung!$C$54,Eingaben!$C$23))*IF(Eingaben!$C$25=1,E40,1))*C40</f>
        <v>0</v>
      </c>
      <c r="L40" s="40" t="n">
        <f aca="false">MIN(K40,MAX(0,Parameter!$C$42*I40-N40))</f>
        <v>0</v>
      </c>
      <c r="M40" s="40" t="n">
        <f aca="false">MIN(K40,Parameter!$C$43*I40)</f>
        <v>0</v>
      </c>
      <c r="N40" s="40" t="n">
        <f aca="false">IF(Eingaben!$C$27=2,MIN(Eingaben!$C$26*K40,U40),Eingaben!$C$26*IF(Eingaben!$C$27=1,M40,K40))</f>
        <v>0</v>
      </c>
      <c r="O40" s="40" t="n">
        <f aca="false">K40+N40</f>
        <v>0</v>
      </c>
      <c r="P40" s="40" t="n">
        <f aca="false">MIN(O40,Parameter!$C$42*I40)</f>
        <v>0</v>
      </c>
      <c r="Q40" s="40" t="n">
        <f aca="false">O40-P40</f>
        <v>0</v>
      </c>
      <c r="R40" s="40" t="n">
        <f aca="false">MIN(H40,I40)-MIN(H40-M40,I40)</f>
        <v>0</v>
      </c>
      <c r="S40" s="40" t="n">
        <f aca="false">MIN(H40,J40)-MIN(H40-M40,J40)</f>
        <v>0</v>
      </c>
      <c r="T40" s="40" t="n">
        <f aca="false">R40*(Parameter!$C$10+Parameter!$C$11)+S40*((Parameter!$C$12+Parameter!$C$13)/2+Parameter!$C$58)</f>
        <v>0</v>
      </c>
      <c r="U40" s="40" t="n">
        <f aca="false">R40*(Parameter!$C$10+Parameter!$C$11)+S40*((Parameter!$C$12+Parameter!$C$13)/2+Parameter!$C$15)</f>
        <v>0</v>
      </c>
      <c r="V40" s="40" t="n">
        <f aca="false">MIN(H40,I40)*Parameter!$C$10+MIN(H40,J40)*(0.96*(Parameter!$C$12+Parameter!$C$13)/2+Parameter!$C$58)</f>
        <v>0</v>
      </c>
      <c r="W40" s="40" t="n">
        <f aca="false">MIN(H40-M40,I40)*Parameter!$C$10+MIN(H40-M40,J40)*(0.96*(Parameter!$C$12+Parameter!$C$13)/2+Parameter!$C$58)</f>
        <v>0</v>
      </c>
      <c r="X40" s="40" t="n">
        <f aca="false">MAX(0,H40-Parameter!$C$32*F40-Parameter!$C$33-V40)</f>
        <v>0</v>
      </c>
      <c r="Y40" s="40" t="n">
        <f aca="false">MAX(0,H40-L40-Parameter!$C$32*F40-Parameter!$C$33-W40)</f>
        <v>0</v>
      </c>
      <c r="Z40" s="40" t="n">
        <f aca="false">MAX(0,(X40+IF(Eingaben!$C$14=3,Eingaben!$C$15,0))/Parameter!$C$57/F40)</f>
        <v>0</v>
      </c>
      <c r="AA40" s="40" t="n">
        <f aca="false">Parameter!$C$57*F40*(IF(Z40&lt;=Parameter!$C$18,0,IF(Z40&lt;=Parameter!$C$19,(Parameter!$C$22*(Z40-Parameter!$C$18)/10000+Parameter!$C$23)*(Z40-Parameter!$C$18)/10000,IF(Z40&lt;=Parameter!$C$20,(Parameter!$C$24*(Z40-Parameter!$C$19)/10000+Parameter!$C$25)*(Z40-Parameter!$C$19)/10000+Parameter!$C$26,IF(Z40&lt;=Parameter!$C$21,0.42*Z40-Parameter!$C$27,0.45*Z40-Parameter!$C$28)))))</f>
        <v>0</v>
      </c>
      <c r="AB40" s="40" t="n">
        <f aca="false">AA40+IF(AA40&lt;=(Parameter!$C$30*Parameter!$C$57*F40),0,MIN(Parameter!$C$29*AA40,Parameter!$C$31*(AA40-(Parameter!$C$30*Parameter!$C$57*F40))))+Eingaben!$C$16*AA40</f>
        <v>0</v>
      </c>
      <c r="AC40" s="40" t="n">
        <f aca="false">MAX(0,(Y40+IF(Eingaben!$C$14=3,Eingaben!$C$15,0))/Parameter!$C$57/F40)</f>
        <v>0</v>
      </c>
      <c r="AD40" s="40" t="n">
        <f aca="false">Parameter!$C$57*F40*(IF(AC40&lt;=Parameter!$C$18,0,IF(AC40&lt;=Parameter!$C$19,(Parameter!$C$22*(AC40-Parameter!$C$18)/10000+Parameter!$C$23)*(AC40-Parameter!$C$18)/10000,IF(AC40&lt;=Parameter!$C$20,(Parameter!$C$24*(AC40-Parameter!$C$19)/10000+Parameter!$C$25)*(AC40-Parameter!$C$19)/10000+Parameter!$C$26,IF(AC40&lt;=Parameter!$C$21,0.42*AC40-Parameter!$C$27,0.45*AC40-Parameter!$C$28)))))</f>
        <v>0</v>
      </c>
      <c r="AE40" s="40" t="n">
        <f aca="false">AD40+IF(AD40&lt;=(Parameter!$C$30*Parameter!$C$57*F40),0,MIN(Parameter!$C$29*AD40,Parameter!$C$31*(AD40-(Parameter!$C$30*Parameter!$C$57*F40))))+Eingaben!$C$16*AD40</f>
        <v>0</v>
      </c>
      <c r="AF40" s="40" t="n">
        <f aca="false">AB40-AE40</f>
        <v>0</v>
      </c>
      <c r="AG40" s="40" t="n">
        <f aca="false">MAX(0,K40-T40-AF40)</f>
        <v>0</v>
      </c>
      <c r="AH40" s="40" t="n">
        <f aca="false">MIN(AG40,Parameter!$C$49)</f>
        <v>0</v>
      </c>
      <c r="AI40" s="40" t="n">
        <f aca="false">Parameter!$C$44*MIN(AH40,Parameter!$C$45)+Parameter!$C$46*MAX(0,MIN(AH40,Parameter!$C$47)-Parameter!$C$45)</f>
        <v>0</v>
      </c>
      <c r="AJ40" s="40" t="n">
        <f aca="false">MIN(AH40,Parameter!$C$48)*Eingaben!$C$18*IF(32&lt;Eingaben!$C$19,1,0)</f>
        <v>0</v>
      </c>
      <c r="AK40" s="40" t="n">
        <f aca="false">MIN(AI40+AJ40,MAX(0,Parameter!$C$49-AH40))</f>
        <v>0</v>
      </c>
      <c r="AL40" s="40" t="n">
        <f aca="false">MIN(MIN(AH40,Parameter!$C$47)+AK40,Parameter!$C$50)</f>
        <v>0</v>
      </c>
      <c r="AM40" s="40" t="n">
        <f aca="false">MAX(0,X40-AL40)</f>
        <v>0</v>
      </c>
      <c r="AN40" s="40" t="n">
        <f aca="false">MAX(0,(AM40+IF(Eingaben!$C$14=3,Eingaben!$C$15,0))/Parameter!$C$57/F40)</f>
        <v>0</v>
      </c>
      <c r="AO40" s="40" t="n">
        <f aca="false">Parameter!$C$57*F40*(IF(AN40&lt;=Parameter!$C$18,0,IF(AN40&lt;=Parameter!$C$19,(Parameter!$C$22*(AN40-Parameter!$C$18)/10000+Parameter!$C$23)*(AN40-Parameter!$C$18)/10000,IF(AN40&lt;=Parameter!$C$20,(Parameter!$C$24*(AN40-Parameter!$C$19)/10000+Parameter!$C$25)*(AN40-Parameter!$C$19)/10000+Parameter!$C$26,IF(AN40&lt;=Parameter!$C$21,0.42*AN40-Parameter!$C$27,0.45*AN40-Parameter!$C$28)))))</f>
        <v>0</v>
      </c>
      <c r="AP40" s="40" t="n">
        <f aca="false">AO40+IF(AO40&lt;=(Parameter!$C$30*Parameter!$C$57*F40),0,MIN(Parameter!$C$29*AO40,Parameter!$C$31*(AO40-(Parameter!$C$30*Parameter!$C$57*F40))))+Eingaben!$C$16*AO40</f>
        <v>0</v>
      </c>
      <c r="AQ40" s="40" t="n">
        <f aca="false">AB40-AP40</f>
        <v>0</v>
      </c>
      <c r="AR40" s="40" t="n">
        <f aca="false">MAX(0,AQ40-AK40)</f>
        <v>0</v>
      </c>
      <c r="AS40" s="40" t="n">
        <f aca="false">MIN(AH40,Parameter!$C$47)+AK40</f>
        <v>0</v>
      </c>
      <c r="AT40" s="40" t="n">
        <f aca="false">MAX(0,AH40-Parameter!$C$47)+AR39</f>
        <v>0</v>
      </c>
      <c r="AU40" s="40" t="n">
        <f aca="false">MAX(0,AG40-Parameter!$C$49)</f>
        <v>0</v>
      </c>
      <c r="AV40" s="40" t="n">
        <f aca="false">AG40</f>
        <v>0</v>
      </c>
      <c r="AW40" s="40" t="n">
        <f aca="false">IF(D40=0,AW39,AW39*(1+Parameter!$C$60)+P40*(1+Parameter!$C$60)^0.5)</f>
        <v>327329.147588884</v>
      </c>
      <c r="AX40" s="40" t="n">
        <f aca="false">IF(D40=0,AX39,AX39*(1+Parameter!$C$60)+Q40*(1+Parameter!$C$60)^0.5)</f>
        <v>0</v>
      </c>
      <c r="AY40" s="40" t="n">
        <f aca="false">IF(D40=0,AY39,AY39*(1+Parameter!$C$61)+AS40*(1+Parameter!$C$61)^0.5)</f>
        <v>155636.544221689</v>
      </c>
      <c r="AZ40" s="40" t="n">
        <f aca="false">IF(D40=0,AZ39,AZ39*(1+Parameter!$C$61)+AT40*(1+Parameter!$C$61)^0.5)</f>
        <v>62766.2683996872</v>
      </c>
      <c r="BA40" s="40" t="n">
        <f aca="false">IF(D40=0,BA39,BA39*(1+Parameter!$C$62)+AU40*(1+Parameter!$C$62)^0.5-BD40)</f>
        <v>0</v>
      </c>
      <c r="BB40" s="40" t="n">
        <f aca="false">IF(D40=0,BB39,BB39+AU40+BC40)</f>
        <v>0</v>
      </c>
      <c r="BC40" s="40" t="n">
        <f aca="false">MAX(0,MIN(BA39*(1+Parameter!$C$62)+AU40*(1+Parameter!$C$62)^0.5-BA39-AU40,BA39*Parameter!$C$39*Parameter!$C$40))</f>
        <v>0</v>
      </c>
      <c r="BD40" s="40" t="n">
        <f aca="false">MAX(0,BC40*(1-Parameter!$C$37)-Parameter!$C$67)*Parameter!$C$36</f>
        <v>0</v>
      </c>
      <c r="BE40" s="40" t="n">
        <f aca="false">IF(D40=0,BE39,BE39*(1+Parameter!$C$62)+AV40*(1+Parameter!$C$62)^0.5-BH40)</f>
        <v>167462.743358363</v>
      </c>
      <c r="BF40" s="40" t="n">
        <f aca="false">IF(D40=0,BF39,BF39+AV40+BG40)</f>
        <v>95281.8595308716</v>
      </c>
      <c r="BG40" s="40" t="n">
        <f aca="false">MAX(0,MIN(BE39*(1+Parameter!$C$62)+AV40*(1+Parameter!$C$62)^0.5-BE39-AV40,BE39*Parameter!$C$39*Parameter!$C$40))</f>
        <v>3751.16545122732</v>
      </c>
      <c r="BH40" s="40" t="n">
        <f aca="false">MAX(0,BG40*(1-Parameter!$C$37)-Parameter!$C$67)*Parameter!$C$36</f>
        <v>428.808921432844</v>
      </c>
      <c r="BI40" s="38" t="n">
        <f aca="false">R40/(Parameter!$C$8*E40)</f>
        <v>0</v>
      </c>
      <c r="BJ40" s="38" t="n">
        <f aca="false">BJ39+BI40</f>
        <v>1.59402433389804</v>
      </c>
    </row>
    <row r="41" customFormat="false" ht="15" hidden="false" customHeight="false" outlineLevel="0" collapsed="false">
      <c r="A41" s="32" t="n">
        <f aca="false">2026+33</f>
        <v>2059</v>
      </c>
      <c r="B41" s="32" t="n">
        <f aca="false">Eingaben!$C$5+33</f>
        <v>73</v>
      </c>
      <c r="C41" s="32" t="n">
        <f aca="false">IF(AND(B41&lt;Eingaben!$C$8,B41&lt;Eingaben!$C$6),1,0)</f>
        <v>0</v>
      </c>
      <c r="D41" s="32" t="n">
        <f aca="false">IF(B41&lt;Eingaben!$C$6,1,0)</f>
        <v>0</v>
      </c>
      <c r="E41" s="41" t="n">
        <f aca="false">(1+Eingaben!$C$13)^33</f>
        <v>2.25885086121712</v>
      </c>
      <c r="F41" s="41" t="n">
        <f aca="false">(1+Eingaben!$C$17)^33</f>
        <v>1.92223140394315</v>
      </c>
      <c r="G41" s="42" t="n">
        <f aca="false">IF(B41&gt;=Eingaben!$C$9,Eingaben!$C$10,1)</f>
        <v>0.6</v>
      </c>
      <c r="H41" s="43" t="n">
        <f aca="false">Eingaben!$C$12*E41*G41*C41</f>
        <v>0</v>
      </c>
      <c r="I41" s="43" t="n">
        <f aca="false">Parameter!$C$4*E41</f>
        <v>229047.477327416</v>
      </c>
      <c r="J41" s="43" t="n">
        <f aca="false">Parameter!$C$5*E41</f>
        <v>157554.847569894</v>
      </c>
      <c r="K41" s="43" t="n">
        <f aca="false">MIN(H41,12*(IF(Eingaben!$C$22=2,Umrechnung!$C$54,Eingaben!$C$23))*IF(Eingaben!$C$25=1,E41,1))*C41</f>
        <v>0</v>
      </c>
      <c r="L41" s="43" t="n">
        <f aca="false">MIN(K41,MAX(0,Parameter!$C$42*I41-N41))</f>
        <v>0</v>
      </c>
      <c r="M41" s="43" t="n">
        <f aca="false">MIN(K41,Parameter!$C$43*I41)</f>
        <v>0</v>
      </c>
      <c r="N41" s="43" t="n">
        <f aca="false">IF(Eingaben!$C$27=2,MIN(Eingaben!$C$26*K41,U41),Eingaben!$C$26*IF(Eingaben!$C$27=1,M41,K41))</f>
        <v>0</v>
      </c>
      <c r="O41" s="43" t="n">
        <f aca="false">K41+N41</f>
        <v>0</v>
      </c>
      <c r="P41" s="43" t="n">
        <f aca="false">MIN(O41,Parameter!$C$42*I41)</f>
        <v>0</v>
      </c>
      <c r="Q41" s="43" t="n">
        <f aca="false">O41-P41</f>
        <v>0</v>
      </c>
      <c r="R41" s="43" t="n">
        <f aca="false">MIN(H41,I41)-MIN(H41-M41,I41)</f>
        <v>0</v>
      </c>
      <c r="S41" s="43" t="n">
        <f aca="false">MIN(H41,J41)-MIN(H41-M41,J41)</f>
        <v>0</v>
      </c>
      <c r="T41" s="43" t="n">
        <f aca="false">R41*(Parameter!$C$10+Parameter!$C$11)+S41*((Parameter!$C$12+Parameter!$C$13)/2+Parameter!$C$58)</f>
        <v>0</v>
      </c>
      <c r="U41" s="43" t="n">
        <f aca="false">R41*(Parameter!$C$10+Parameter!$C$11)+S41*((Parameter!$C$12+Parameter!$C$13)/2+Parameter!$C$15)</f>
        <v>0</v>
      </c>
      <c r="V41" s="43" t="n">
        <f aca="false">MIN(H41,I41)*Parameter!$C$10+MIN(H41,J41)*(0.96*(Parameter!$C$12+Parameter!$C$13)/2+Parameter!$C$58)</f>
        <v>0</v>
      </c>
      <c r="W41" s="43" t="n">
        <f aca="false">MIN(H41-M41,I41)*Parameter!$C$10+MIN(H41-M41,J41)*(0.96*(Parameter!$C$12+Parameter!$C$13)/2+Parameter!$C$58)</f>
        <v>0</v>
      </c>
      <c r="X41" s="43" t="n">
        <f aca="false">MAX(0,H41-Parameter!$C$32*F41-Parameter!$C$33-V41)</f>
        <v>0</v>
      </c>
      <c r="Y41" s="43" t="n">
        <f aca="false">MAX(0,H41-L41-Parameter!$C$32*F41-Parameter!$C$33-W41)</f>
        <v>0</v>
      </c>
      <c r="Z41" s="43" t="n">
        <f aca="false">MAX(0,(X41+IF(Eingaben!$C$14=3,Eingaben!$C$15,0))/Parameter!$C$57/F41)</f>
        <v>0</v>
      </c>
      <c r="AA41" s="43" t="n">
        <f aca="false">Parameter!$C$57*F41*(IF(Z41&lt;=Parameter!$C$18,0,IF(Z41&lt;=Parameter!$C$19,(Parameter!$C$22*(Z41-Parameter!$C$18)/10000+Parameter!$C$23)*(Z41-Parameter!$C$18)/10000,IF(Z41&lt;=Parameter!$C$20,(Parameter!$C$24*(Z41-Parameter!$C$19)/10000+Parameter!$C$25)*(Z41-Parameter!$C$19)/10000+Parameter!$C$26,IF(Z41&lt;=Parameter!$C$21,0.42*Z41-Parameter!$C$27,0.45*Z41-Parameter!$C$28)))))</f>
        <v>0</v>
      </c>
      <c r="AB41" s="43" t="n">
        <f aca="false">AA41+IF(AA41&lt;=(Parameter!$C$30*Parameter!$C$57*F41),0,MIN(Parameter!$C$29*AA41,Parameter!$C$31*(AA41-(Parameter!$C$30*Parameter!$C$57*F41))))+Eingaben!$C$16*AA41</f>
        <v>0</v>
      </c>
      <c r="AC41" s="43" t="n">
        <f aca="false">MAX(0,(Y41+IF(Eingaben!$C$14=3,Eingaben!$C$15,0))/Parameter!$C$57/F41)</f>
        <v>0</v>
      </c>
      <c r="AD41" s="43" t="n">
        <f aca="false">Parameter!$C$57*F41*(IF(AC41&lt;=Parameter!$C$18,0,IF(AC41&lt;=Parameter!$C$19,(Parameter!$C$22*(AC41-Parameter!$C$18)/10000+Parameter!$C$23)*(AC41-Parameter!$C$18)/10000,IF(AC41&lt;=Parameter!$C$20,(Parameter!$C$24*(AC41-Parameter!$C$19)/10000+Parameter!$C$25)*(AC41-Parameter!$C$19)/10000+Parameter!$C$26,IF(AC41&lt;=Parameter!$C$21,0.42*AC41-Parameter!$C$27,0.45*AC41-Parameter!$C$28)))))</f>
        <v>0</v>
      </c>
      <c r="AE41" s="43" t="n">
        <f aca="false">AD41+IF(AD41&lt;=(Parameter!$C$30*Parameter!$C$57*F41),0,MIN(Parameter!$C$29*AD41,Parameter!$C$31*(AD41-(Parameter!$C$30*Parameter!$C$57*F41))))+Eingaben!$C$16*AD41</f>
        <v>0</v>
      </c>
      <c r="AF41" s="43" t="n">
        <f aca="false">AB41-AE41</f>
        <v>0</v>
      </c>
      <c r="AG41" s="43" t="n">
        <f aca="false">MAX(0,K41-T41-AF41)</f>
        <v>0</v>
      </c>
      <c r="AH41" s="43" t="n">
        <f aca="false">MIN(AG41,Parameter!$C$49)</f>
        <v>0</v>
      </c>
      <c r="AI41" s="43" t="n">
        <f aca="false">Parameter!$C$44*MIN(AH41,Parameter!$C$45)+Parameter!$C$46*MAX(0,MIN(AH41,Parameter!$C$47)-Parameter!$C$45)</f>
        <v>0</v>
      </c>
      <c r="AJ41" s="43" t="n">
        <f aca="false">MIN(AH41,Parameter!$C$48)*Eingaben!$C$18*IF(33&lt;Eingaben!$C$19,1,0)</f>
        <v>0</v>
      </c>
      <c r="AK41" s="43" t="n">
        <f aca="false">MIN(AI41+AJ41,MAX(0,Parameter!$C$49-AH41))</f>
        <v>0</v>
      </c>
      <c r="AL41" s="43" t="n">
        <f aca="false">MIN(MIN(AH41,Parameter!$C$47)+AK41,Parameter!$C$50)</f>
        <v>0</v>
      </c>
      <c r="AM41" s="43" t="n">
        <f aca="false">MAX(0,X41-AL41)</f>
        <v>0</v>
      </c>
      <c r="AN41" s="43" t="n">
        <f aca="false">MAX(0,(AM41+IF(Eingaben!$C$14=3,Eingaben!$C$15,0))/Parameter!$C$57/F41)</f>
        <v>0</v>
      </c>
      <c r="AO41" s="43" t="n">
        <f aca="false">Parameter!$C$57*F41*(IF(AN41&lt;=Parameter!$C$18,0,IF(AN41&lt;=Parameter!$C$19,(Parameter!$C$22*(AN41-Parameter!$C$18)/10000+Parameter!$C$23)*(AN41-Parameter!$C$18)/10000,IF(AN41&lt;=Parameter!$C$20,(Parameter!$C$24*(AN41-Parameter!$C$19)/10000+Parameter!$C$25)*(AN41-Parameter!$C$19)/10000+Parameter!$C$26,IF(AN41&lt;=Parameter!$C$21,0.42*AN41-Parameter!$C$27,0.45*AN41-Parameter!$C$28)))))</f>
        <v>0</v>
      </c>
      <c r="AP41" s="43" t="n">
        <f aca="false">AO41+IF(AO41&lt;=(Parameter!$C$30*Parameter!$C$57*F41),0,MIN(Parameter!$C$29*AO41,Parameter!$C$31*(AO41-(Parameter!$C$30*Parameter!$C$57*F41))))+Eingaben!$C$16*AO41</f>
        <v>0</v>
      </c>
      <c r="AQ41" s="43" t="n">
        <f aca="false">AB41-AP41</f>
        <v>0</v>
      </c>
      <c r="AR41" s="43" t="n">
        <f aca="false">MAX(0,AQ41-AK41)</f>
        <v>0</v>
      </c>
      <c r="AS41" s="43" t="n">
        <f aca="false">MIN(AH41,Parameter!$C$47)+AK41</f>
        <v>0</v>
      </c>
      <c r="AT41" s="43" t="n">
        <f aca="false">MAX(0,AH41-Parameter!$C$47)+AR40</f>
        <v>0</v>
      </c>
      <c r="AU41" s="43" t="n">
        <f aca="false">MAX(0,AG41-Parameter!$C$49)</f>
        <v>0</v>
      </c>
      <c r="AV41" s="43" t="n">
        <f aca="false">AG41</f>
        <v>0</v>
      </c>
      <c r="AW41" s="43" t="n">
        <f aca="false">IF(D41=0,AW40,AW40*(1+Parameter!$C$60)+P41*(1+Parameter!$C$60)^0.5)</f>
        <v>327329.147588884</v>
      </c>
      <c r="AX41" s="43" t="n">
        <f aca="false">IF(D41=0,AX40,AX40*(1+Parameter!$C$60)+Q41*(1+Parameter!$C$60)^0.5)</f>
        <v>0</v>
      </c>
      <c r="AY41" s="43" t="n">
        <f aca="false">IF(D41=0,AY40,AY40*(1+Parameter!$C$61)+AS41*(1+Parameter!$C$61)^0.5)</f>
        <v>155636.544221689</v>
      </c>
      <c r="AZ41" s="43" t="n">
        <f aca="false">IF(D41=0,AZ40,AZ40*(1+Parameter!$C$61)+AT41*(1+Parameter!$C$61)^0.5)</f>
        <v>62766.2683996872</v>
      </c>
      <c r="BA41" s="43" t="n">
        <f aca="false">IF(D41=0,BA40,BA40*(1+Parameter!$C$62)+AU41*(1+Parameter!$C$62)^0.5-BD41)</f>
        <v>0</v>
      </c>
      <c r="BB41" s="43" t="n">
        <f aca="false">IF(D41=0,BB40,BB40+AU41+BC41)</f>
        <v>0</v>
      </c>
      <c r="BC41" s="43" t="n">
        <f aca="false">MAX(0,MIN(BA40*(1+Parameter!$C$62)+AU41*(1+Parameter!$C$62)^0.5-BA40-AU41,BA40*Parameter!$C$39*Parameter!$C$40))</f>
        <v>0</v>
      </c>
      <c r="BD41" s="43" t="n">
        <f aca="false">MAX(0,BC41*(1-Parameter!$C$37)-Parameter!$C$67)*Parameter!$C$36</f>
        <v>0</v>
      </c>
      <c r="BE41" s="43" t="n">
        <f aca="false">IF(D41=0,BE40,BE40*(1+Parameter!$C$62)+AV41*(1+Parameter!$C$62)^0.5-BH41)</f>
        <v>167462.743358363</v>
      </c>
      <c r="BF41" s="43" t="n">
        <f aca="false">IF(D41=0,BF40,BF40+AV41+BG41)</f>
        <v>95281.8595308716</v>
      </c>
      <c r="BG41" s="43" t="n">
        <f aca="false">MAX(0,MIN(BE40*(1+Parameter!$C$62)+AV41*(1+Parameter!$C$62)^0.5-BE40-AV41,BE40*Parameter!$C$39*Parameter!$C$40))</f>
        <v>3751.16545122732</v>
      </c>
      <c r="BH41" s="43" t="n">
        <f aca="false">MAX(0,BG41*(1-Parameter!$C$37)-Parameter!$C$67)*Parameter!$C$36</f>
        <v>428.808921432844</v>
      </c>
      <c r="BI41" s="41" t="n">
        <f aca="false">R41/(Parameter!$C$8*E41)</f>
        <v>0</v>
      </c>
      <c r="BJ41" s="41" t="n">
        <f aca="false">BJ40+BI41</f>
        <v>1.59402433389804</v>
      </c>
    </row>
    <row r="42" customFormat="false" ht="15" hidden="false" customHeight="false" outlineLevel="0" collapsed="false">
      <c r="A42" s="30" t="n">
        <f aca="false">2026+34</f>
        <v>2060</v>
      </c>
      <c r="B42" s="30" t="n">
        <f aca="false">Eingaben!$C$5+34</f>
        <v>74</v>
      </c>
      <c r="C42" s="30" t="n">
        <f aca="false">IF(AND(B42&lt;Eingaben!$C$8,B42&lt;Eingaben!$C$6),1,0)</f>
        <v>0</v>
      </c>
      <c r="D42" s="30" t="n">
        <f aca="false">IF(B42&lt;Eingaben!$C$6,1,0)</f>
        <v>0</v>
      </c>
      <c r="E42" s="38" t="n">
        <f aca="false">(1+Eingaben!$C$13)^34</f>
        <v>2.31532213274755</v>
      </c>
      <c r="F42" s="38" t="n">
        <f aca="false">(1+Eingaben!$C$17)^34</f>
        <v>1.96067603202202</v>
      </c>
      <c r="G42" s="39" t="n">
        <f aca="false">IF(B42&gt;=Eingaben!$C$9,Eingaben!$C$10,1)</f>
        <v>0.6</v>
      </c>
      <c r="H42" s="40" t="n">
        <f aca="false">Eingaben!$C$12*E42*G42*C42</f>
        <v>0</v>
      </c>
      <c r="I42" s="40" t="n">
        <f aca="false">Parameter!$C$4*E42</f>
        <v>234773.664260601</v>
      </c>
      <c r="J42" s="40" t="n">
        <f aca="false">Parameter!$C$5*E42</f>
        <v>161493.718759142</v>
      </c>
      <c r="K42" s="40" t="n">
        <f aca="false">MIN(H42,12*(IF(Eingaben!$C$22=2,Umrechnung!$C$54,Eingaben!$C$23))*IF(Eingaben!$C$25=1,E42,1))*C42</f>
        <v>0</v>
      </c>
      <c r="L42" s="40" t="n">
        <f aca="false">MIN(K42,MAX(0,Parameter!$C$42*I42-N42))</f>
        <v>0</v>
      </c>
      <c r="M42" s="40" t="n">
        <f aca="false">MIN(K42,Parameter!$C$43*I42)</f>
        <v>0</v>
      </c>
      <c r="N42" s="40" t="n">
        <f aca="false">IF(Eingaben!$C$27=2,MIN(Eingaben!$C$26*K42,U42),Eingaben!$C$26*IF(Eingaben!$C$27=1,M42,K42))</f>
        <v>0</v>
      </c>
      <c r="O42" s="40" t="n">
        <f aca="false">K42+N42</f>
        <v>0</v>
      </c>
      <c r="P42" s="40" t="n">
        <f aca="false">MIN(O42,Parameter!$C$42*I42)</f>
        <v>0</v>
      </c>
      <c r="Q42" s="40" t="n">
        <f aca="false">O42-P42</f>
        <v>0</v>
      </c>
      <c r="R42" s="40" t="n">
        <f aca="false">MIN(H42,I42)-MIN(H42-M42,I42)</f>
        <v>0</v>
      </c>
      <c r="S42" s="40" t="n">
        <f aca="false">MIN(H42,J42)-MIN(H42-M42,J42)</f>
        <v>0</v>
      </c>
      <c r="T42" s="40" t="n">
        <f aca="false">R42*(Parameter!$C$10+Parameter!$C$11)+S42*((Parameter!$C$12+Parameter!$C$13)/2+Parameter!$C$58)</f>
        <v>0</v>
      </c>
      <c r="U42" s="40" t="n">
        <f aca="false">R42*(Parameter!$C$10+Parameter!$C$11)+S42*((Parameter!$C$12+Parameter!$C$13)/2+Parameter!$C$15)</f>
        <v>0</v>
      </c>
      <c r="V42" s="40" t="n">
        <f aca="false">MIN(H42,I42)*Parameter!$C$10+MIN(H42,J42)*(0.96*(Parameter!$C$12+Parameter!$C$13)/2+Parameter!$C$58)</f>
        <v>0</v>
      </c>
      <c r="W42" s="40" t="n">
        <f aca="false">MIN(H42-M42,I42)*Parameter!$C$10+MIN(H42-M42,J42)*(0.96*(Parameter!$C$12+Parameter!$C$13)/2+Parameter!$C$58)</f>
        <v>0</v>
      </c>
      <c r="X42" s="40" t="n">
        <f aca="false">MAX(0,H42-Parameter!$C$32*F42-Parameter!$C$33-V42)</f>
        <v>0</v>
      </c>
      <c r="Y42" s="40" t="n">
        <f aca="false">MAX(0,H42-L42-Parameter!$C$32*F42-Parameter!$C$33-W42)</f>
        <v>0</v>
      </c>
      <c r="Z42" s="40" t="n">
        <f aca="false">MAX(0,(X42+IF(Eingaben!$C$14=3,Eingaben!$C$15,0))/Parameter!$C$57/F42)</f>
        <v>0</v>
      </c>
      <c r="AA42" s="40" t="n">
        <f aca="false">Parameter!$C$57*F42*(IF(Z42&lt;=Parameter!$C$18,0,IF(Z42&lt;=Parameter!$C$19,(Parameter!$C$22*(Z42-Parameter!$C$18)/10000+Parameter!$C$23)*(Z42-Parameter!$C$18)/10000,IF(Z42&lt;=Parameter!$C$20,(Parameter!$C$24*(Z42-Parameter!$C$19)/10000+Parameter!$C$25)*(Z42-Parameter!$C$19)/10000+Parameter!$C$26,IF(Z42&lt;=Parameter!$C$21,0.42*Z42-Parameter!$C$27,0.45*Z42-Parameter!$C$28)))))</f>
        <v>0</v>
      </c>
      <c r="AB42" s="40" t="n">
        <f aca="false">AA42+IF(AA42&lt;=(Parameter!$C$30*Parameter!$C$57*F42),0,MIN(Parameter!$C$29*AA42,Parameter!$C$31*(AA42-(Parameter!$C$30*Parameter!$C$57*F42))))+Eingaben!$C$16*AA42</f>
        <v>0</v>
      </c>
      <c r="AC42" s="40" t="n">
        <f aca="false">MAX(0,(Y42+IF(Eingaben!$C$14=3,Eingaben!$C$15,0))/Parameter!$C$57/F42)</f>
        <v>0</v>
      </c>
      <c r="AD42" s="40" t="n">
        <f aca="false">Parameter!$C$57*F42*(IF(AC42&lt;=Parameter!$C$18,0,IF(AC42&lt;=Parameter!$C$19,(Parameter!$C$22*(AC42-Parameter!$C$18)/10000+Parameter!$C$23)*(AC42-Parameter!$C$18)/10000,IF(AC42&lt;=Parameter!$C$20,(Parameter!$C$24*(AC42-Parameter!$C$19)/10000+Parameter!$C$25)*(AC42-Parameter!$C$19)/10000+Parameter!$C$26,IF(AC42&lt;=Parameter!$C$21,0.42*AC42-Parameter!$C$27,0.45*AC42-Parameter!$C$28)))))</f>
        <v>0</v>
      </c>
      <c r="AE42" s="40" t="n">
        <f aca="false">AD42+IF(AD42&lt;=(Parameter!$C$30*Parameter!$C$57*F42),0,MIN(Parameter!$C$29*AD42,Parameter!$C$31*(AD42-(Parameter!$C$30*Parameter!$C$57*F42))))+Eingaben!$C$16*AD42</f>
        <v>0</v>
      </c>
      <c r="AF42" s="40" t="n">
        <f aca="false">AB42-AE42</f>
        <v>0</v>
      </c>
      <c r="AG42" s="40" t="n">
        <f aca="false">MAX(0,K42-T42-AF42)</f>
        <v>0</v>
      </c>
      <c r="AH42" s="40" t="n">
        <f aca="false">MIN(AG42,Parameter!$C$49)</f>
        <v>0</v>
      </c>
      <c r="AI42" s="40" t="n">
        <f aca="false">Parameter!$C$44*MIN(AH42,Parameter!$C$45)+Parameter!$C$46*MAX(0,MIN(AH42,Parameter!$C$47)-Parameter!$C$45)</f>
        <v>0</v>
      </c>
      <c r="AJ42" s="40" t="n">
        <f aca="false">MIN(AH42,Parameter!$C$48)*Eingaben!$C$18*IF(34&lt;Eingaben!$C$19,1,0)</f>
        <v>0</v>
      </c>
      <c r="AK42" s="40" t="n">
        <f aca="false">MIN(AI42+AJ42,MAX(0,Parameter!$C$49-AH42))</f>
        <v>0</v>
      </c>
      <c r="AL42" s="40" t="n">
        <f aca="false">MIN(MIN(AH42,Parameter!$C$47)+AK42,Parameter!$C$50)</f>
        <v>0</v>
      </c>
      <c r="AM42" s="40" t="n">
        <f aca="false">MAX(0,X42-AL42)</f>
        <v>0</v>
      </c>
      <c r="AN42" s="40" t="n">
        <f aca="false">MAX(0,(AM42+IF(Eingaben!$C$14=3,Eingaben!$C$15,0))/Parameter!$C$57/F42)</f>
        <v>0</v>
      </c>
      <c r="AO42" s="40" t="n">
        <f aca="false">Parameter!$C$57*F42*(IF(AN42&lt;=Parameter!$C$18,0,IF(AN42&lt;=Parameter!$C$19,(Parameter!$C$22*(AN42-Parameter!$C$18)/10000+Parameter!$C$23)*(AN42-Parameter!$C$18)/10000,IF(AN42&lt;=Parameter!$C$20,(Parameter!$C$24*(AN42-Parameter!$C$19)/10000+Parameter!$C$25)*(AN42-Parameter!$C$19)/10000+Parameter!$C$26,IF(AN42&lt;=Parameter!$C$21,0.42*AN42-Parameter!$C$27,0.45*AN42-Parameter!$C$28)))))</f>
        <v>0</v>
      </c>
      <c r="AP42" s="40" t="n">
        <f aca="false">AO42+IF(AO42&lt;=(Parameter!$C$30*Parameter!$C$57*F42),0,MIN(Parameter!$C$29*AO42,Parameter!$C$31*(AO42-(Parameter!$C$30*Parameter!$C$57*F42))))+Eingaben!$C$16*AO42</f>
        <v>0</v>
      </c>
      <c r="AQ42" s="40" t="n">
        <f aca="false">AB42-AP42</f>
        <v>0</v>
      </c>
      <c r="AR42" s="40" t="n">
        <f aca="false">MAX(0,AQ42-AK42)</f>
        <v>0</v>
      </c>
      <c r="AS42" s="40" t="n">
        <f aca="false">MIN(AH42,Parameter!$C$47)+AK42</f>
        <v>0</v>
      </c>
      <c r="AT42" s="40" t="n">
        <f aca="false">MAX(0,AH42-Parameter!$C$47)+AR41</f>
        <v>0</v>
      </c>
      <c r="AU42" s="40" t="n">
        <f aca="false">MAX(0,AG42-Parameter!$C$49)</f>
        <v>0</v>
      </c>
      <c r="AV42" s="40" t="n">
        <f aca="false">AG42</f>
        <v>0</v>
      </c>
      <c r="AW42" s="40" t="n">
        <f aca="false">IF(D42=0,AW41,AW41*(1+Parameter!$C$60)+P42*(1+Parameter!$C$60)^0.5)</f>
        <v>327329.147588884</v>
      </c>
      <c r="AX42" s="40" t="n">
        <f aca="false">IF(D42=0,AX41,AX41*(1+Parameter!$C$60)+Q42*(1+Parameter!$C$60)^0.5)</f>
        <v>0</v>
      </c>
      <c r="AY42" s="40" t="n">
        <f aca="false">IF(D42=0,AY41,AY41*(1+Parameter!$C$61)+AS42*(1+Parameter!$C$61)^0.5)</f>
        <v>155636.544221689</v>
      </c>
      <c r="AZ42" s="40" t="n">
        <f aca="false">IF(D42=0,AZ41,AZ41*(1+Parameter!$C$61)+AT42*(1+Parameter!$C$61)^0.5)</f>
        <v>62766.2683996872</v>
      </c>
      <c r="BA42" s="40" t="n">
        <f aca="false">IF(D42=0,BA41,BA41*(1+Parameter!$C$62)+AU42*(1+Parameter!$C$62)^0.5-BD42)</f>
        <v>0</v>
      </c>
      <c r="BB42" s="40" t="n">
        <f aca="false">IF(D42=0,BB41,BB41+AU42+BC42)</f>
        <v>0</v>
      </c>
      <c r="BC42" s="40" t="n">
        <f aca="false">MAX(0,MIN(BA41*(1+Parameter!$C$62)+AU42*(1+Parameter!$C$62)^0.5-BA41-AU42,BA41*Parameter!$C$39*Parameter!$C$40))</f>
        <v>0</v>
      </c>
      <c r="BD42" s="40" t="n">
        <f aca="false">MAX(0,BC42*(1-Parameter!$C$37)-Parameter!$C$67)*Parameter!$C$36</f>
        <v>0</v>
      </c>
      <c r="BE42" s="40" t="n">
        <f aca="false">IF(D42=0,BE41,BE41*(1+Parameter!$C$62)+AV42*(1+Parameter!$C$62)^0.5-BH42)</f>
        <v>167462.743358363</v>
      </c>
      <c r="BF42" s="40" t="n">
        <f aca="false">IF(D42=0,BF41,BF41+AV42+BG42)</f>
        <v>95281.8595308716</v>
      </c>
      <c r="BG42" s="40" t="n">
        <f aca="false">MAX(0,MIN(BE41*(1+Parameter!$C$62)+AV42*(1+Parameter!$C$62)^0.5-BE41-AV42,BE41*Parameter!$C$39*Parameter!$C$40))</f>
        <v>3751.16545122732</v>
      </c>
      <c r="BH42" s="40" t="n">
        <f aca="false">MAX(0,BG42*(1-Parameter!$C$37)-Parameter!$C$67)*Parameter!$C$36</f>
        <v>428.808921432844</v>
      </c>
      <c r="BI42" s="38" t="n">
        <f aca="false">R42/(Parameter!$C$8*E42)</f>
        <v>0</v>
      </c>
      <c r="BJ42" s="38" t="n">
        <f aca="false">BJ41+BI42</f>
        <v>1.59402433389804</v>
      </c>
    </row>
    <row r="43" customFormat="false" ht="15" hidden="false" customHeight="false" outlineLevel="0" collapsed="false">
      <c r="A43" s="32" t="n">
        <f aca="false">2026+35</f>
        <v>2061</v>
      </c>
      <c r="B43" s="32" t="n">
        <f aca="false">Eingaben!$C$5+35</f>
        <v>75</v>
      </c>
      <c r="C43" s="32" t="n">
        <f aca="false">IF(AND(B43&lt;Eingaben!$C$8,B43&lt;Eingaben!$C$6),1,0)</f>
        <v>0</v>
      </c>
      <c r="D43" s="32" t="n">
        <f aca="false">IF(B43&lt;Eingaben!$C$6,1,0)</f>
        <v>0</v>
      </c>
      <c r="E43" s="41" t="n">
        <f aca="false">(1+Eingaben!$C$13)^35</f>
        <v>2.37320518606624</v>
      </c>
      <c r="F43" s="41" t="n">
        <f aca="false">(1+Eingaben!$C$17)^35</f>
        <v>1.99988955266246</v>
      </c>
      <c r="G43" s="42" t="n">
        <f aca="false">IF(B43&gt;=Eingaben!$C$9,Eingaben!$C$10,1)</f>
        <v>0.6</v>
      </c>
      <c r="H43" s="43" t="n">
        <f aca="false">Eingaben!$C$12*E43*G43*C43</f>
        <v>0</v>
      </c>
      <c r="I43" s="43" t="n">
        <f aca="false">Parameter!$C$4*E43</f>
        <v>240643.005867116</v>
      </c>
      <c r="J43" s="43" t="n">
        <f aca="false">Parameter!$C$5*E43</f>
        <v>165531.06172812</v>
      </c>
      <c r="K43" s="43" t="n">
        <f aca="false">MIN(H43,12*(IF(Eingaben!$C$22=2,Umrechnung!$C$54,Eingaben!$C$23))*IF(Eingaben!$C$25=1,E43,1))*C43</f>
        <v>0</v>
      </c>
      <c r="L43" s="43" t="n">
        <f aca="false">MIN(K43,MAX(0,Parameter!$C$42*I43-N43))</f>
        <v>0</v>
      </c>
      <c r="M43" s="43" t="n">
        <f aca="false">MIN(K43,Parameter!$C$43*I43)</f>
        <v>0</v>
      </c>
      <c r="N43" s="43" t="n">
        <f aca="false">IF(Eingaben!$C$27=2,MIN(Eingaben!$C$26*K43,U43),Eingaben!$C$26*IF(Eingaben!$C$27=1,M43,K43))</f>
        <v>0</v>
      </c>
      <c r="O43" s="43" t="n">
        <f aca="false">K43+N43</f>
        <v>0</v>
      </c>
      <c r="P43" s="43" t="n">
        <f aca="false">MIN(O43,Parameter!$C$42*I43)</f>
        <v>0</v>
      </c>
      <c r="Q43" s="43" t="n">
        <f aca="false">O43-P43</f>
        <v>0</v>
      </c>
      <c r="R43" s="43" t="n">
        <f aca="false">MIN(H43,I43)-MIN(H43-M43,I43)</f>
        <v>0</v>
      </c>
      <c r="S43" s="43" t="n">
        <f aca="false">MIN(H43,J43)-MIN(H43-M43,J43)</f>
        <v>0</v>
      </c>
      <c r="T43" s="43" t="n">
        <f aca="false">R43*(Parameter!$C$10+Parameter!$C$11)+S43*((Parameter!$C$12+Parameter!$C$13)/2+Parameter!$C$58)</f>
        <v>0</v>
      </c>
      <c r="U43" s="43" t="n">
        <f aca="false">R43*(Parameter!$C$10+Parameter!$C$11)+S43*((Parameter!$C$12+Parameter!$C$13)/2+Parameter!$C$15)</f>
        <v>0</v>
      </c>
      <c r="V43" s="43" t="n">
        <f aca="false">MIN(H43,I43)*Parameter!$C$10+MIN(H43,J43)*(0.96*(Parameter!$C$12+Parameter!$C$13)/2+Parameter!$C$58)</f>
        <v>0</v>
      </c>
      <c r="W43" s="43" t="n">
        <f aca="false">MIN(H43-M43,I43)*Parameter!$C$10+MIN(H43-M43,J43)*(0.96*(Parameter!$C$12+Parameter!$C$13)/2+Parameter!$C$58)</f>
        <v>0</v>
      </c>
      <c r="X43" s="43" t="n">
        <f aca="false">MAX(0,H43-Parameter!$C$32*F43-Parameter!$C$33-V43)</f>
        <v>0</v>
      </c>
      <c r="Y43" s="43" t="n">
        <f aca="false">MAX(0,H43-L43-Parameter!$C$32*F43-Parameter!$C$33-W43)</f>
        <v>0</v>
      </c>
      <c r="Z43" s="43" t="n">
        <f aca="false">MAX(0,(X43+IF(Eingaben!$C$14=3,Eingaben!$C$15,0))/Parameter!$C$57/F43)</f>
        <v>0</v>
      </c>
      <c r="AA43" s="43" t="n">
        <f aca="false">Parameter!$C$57*F43*(IF(Z43&lt;=Parameter!$C$18,0,IF(Z43&lt;=Parameter!$C$19,(Parameter!$C$22*(Z43-Parameter!$C$18)/10000+Parameter!$C$23)*(Z43-Parameter!$C$18)/10000,IF(Z43&lt;=Parameter!$C$20,(Parameter!$C$24*(Z43-Parameter!$C$19)/10000+Parameter!$C$25)*(Z43-Parameter!$C$19)/10000+Parameter!$C$26,IF(Z43&lt;=Parameter!$C$21,0.42*Z43-Parameter!$C$27,0.45*Z43-Parameter!$C$28)))))</f>
        <v>0</v>
      </c>
      <c r="AB43" s="43" t="n">
        <f aca="false">AA43+IF(AA43&lt;=(Parameter!$C$30*Parameter!$C$57*F43),0,MIN(Parameter!$C$29*AA43,Parameter!$C$31*(AA43-(Parameter!$C$30*Parameter!$C$57*F43))))+Eingaben!$C$16*AA43</f>
        <v>0</v>
      </c>
      <c r="AC43" s="43" t="n">
        <f aca="false">MAX(0,(Y43+IF(Eingaben!$C$14=3,Eingaben!$C$15,0))/Parameter!$C$57/F43)</f>
        <v>0</v>
      </c>
      <c r="AD43" s="43" t="n">
        <f aca="false">Parameter!$C$57*F43*(IF(AC43&lt;=Parameter!$C$18,0,IF(AC43&lt;=Parameter!$C$19,(Parameter!$C$22*(AC43-Parameter!$C$18)/10000+Parameter!$C$23)*(AC43-Parameter!$C$18)/10000,IF(AC43&lt;=Parameter!$C$20,(Parameter!$C$24*(AC43-Parameter!$C$19)/10000+Parameter!$C$25)*(AC43-Parameter!$C$19)/10000+Parameter!$C$26,IF(AC43&lt;=Parameter!$C$21,0.42*AC43-Parameter!$C$27,0.45*AC43-Parameter!$C$28)))))</f>
        <v>0</v>
      </c>
      <c r="AE43" s="43" t="n">
        <f aca="false">AD43+IF(AD43&lt;=(Parameter!$C$30*Parameter!$C$57*F43),0,MIN(Parameter!$C$29*AD43,Parameter!$C$31*(AD43-(Parameter!$C$30*Parameter!$C$57*F43))))+Eingaben!$C$16*AD43</f>
        <v>0</v>
      </c>
      <c r="AF43" s="43" t="n">
        <f aca="false">AB43-AE43</f>
        <v>0</v>
      </c>
      <c r="AG43" s="43" t="n">
        <f aca="false">MAX(0,K43-T43-AF43)</f>
        <v>0</v>
      </c>
      <c r="AH43" s="43" t="n">
        <f aca="false">MIN(AG43,Parameter!$C$49)</f>
        <v>0</v>
      </c>
      <c r="AI43" s="43" t="n">
        <f aca="false">Parameter!$C$44*MIN(AH43,Parameter!$C$45)+Parameter!$C$46*MAX(0,MIN(AH43,Parameter!$C$47)-Parameter!$C$45)</f>
        <v>0</v>
      </c>
      <c r="AJ43" s="43" t="n">
        <f aca="false">MIN(AH43,Parameter!$C$48)*Eingaben!$C$18*IF(35&lt;Eingaben!$C$19,1,0)</f>
        <v>0</v>
      </c>
      <c r="AK43" s="43" t="n">
        <f aca="false">MIN(AI43+AJ43,MAX(0,Parameter!$C$49-AH43))</f>
        <v>0</v>
      </c>
      <c r="AL43" s="43" t="n">
        <f aca="false">MIN(MIN(AH43,Parameter!$C$47)+AK43,Parameter!$C$50)</f>
        <v>0</v>
      </c>
      <c r="AM43" s="43" t="n">
        <f aca="false">MAX(0,X43-AL43)</f>
        <v>0</v>
      </c>
      <c r="AN43" s="43" t="n">
        <f aca="false">MAX(0,(AM43+IF(Eingaben!$C$14=3,Eingaben!$C$15,0))/Parameter!$C$57/F43)</f>
        <v>0</v>
      </c>
      <c r="AO43" s="43" t="n">
        <f aca="false">Parameter!$C$57*F43*(IF(AN43&lt;=Parameter!$C$18,0,IF(AN43&lt;=Parameter!$C$19,(Parameter!$C$22*(AN43-Parameter!$C$18)/10000+Parameter!$C$23)*(AN43-Parameter!$C$18)/10000,IF(AN43&lt;=Parameter!$C$20,(Parameter!$C$24*(AN43-Parameter!$C$19)/10000+Parameter!$C$25)*(AN43-Parameter!$C$19)/10000+Parameter!$C$26,IF(AN43&lt;=Parameter!$C$21,0.42*AN43-Parameter!$C$27,0.45*AN43-Parameter!$C$28)))))</f>
        <v>0</v>
      </c>
      <c r="AP43" s="43" t="n">
        <f aca="false">AO43+IF(AO43&lt;=(Parameter!$C$30*Parameter!$C$57*F43),0,MIN(Parameter!$C$29*AO43,Parameter!$C$31*(AO43-(Parameter!$C$30*Parameter!$C$57*F43))))+Eingaben!$C$16*AO43</f>
        <v>0</v>
      </c>
      <c r="AQ43" s="43" t="n">
        <f aca="false">AB43-AP43</f>
        <v>0</v>
      </c>
      <c r="AR43" s="43" t="n">
        <f aca="false">MAX(0,AQ43-AK43)</f>
        <v>0</v>
      </c>
      <c r="AS43" s="43" t="n">
        <f aca="false">MIN(AH43,Parameter!$C$47)+AK43</f>
        <v>0</v>
      </c>
      <c r="AT43" s="43" t="n">
        <f aca="false">MAX(0,AH43-Parameter!$C$47)+AR42</f>
        <v>0</v>
      </c>
      <c r="AU43" s="43" t="n">
        <f aca="false">MAX(0,AG43-Parameter!$C$49)</f>
        <v>0</v>
      </c>
      <c r="AV43" s="43" t="n">
        <f aca="false">AG43</f>
        <v>0</v>
      </c>
      <c r="AW43" s="43" t="n">
        <f aca="false">IF(D43=0,AW42,AW42*(1+Parameter!$C$60)+P43*(1+Parameter!$C$60)^0.5)</f>
        <v>327329.147588884</v>
      </c>
      <c r="AX43" s="43" t="n">
        <f aca="false">IF(D43=0,AX42,AX42*(1+Parameter!$C$60)+Q43*(1+Parameter!$C$60)^0.5)</f>
        <v>0</v>
      </c>
      <c r="AY43" s="43" t="n">
        <f aca="false">IF(D43=0,AY42,AY42*(1+Parameter!$C$61)+AS43*(1+Parameter!$C$61)^0.5)</f>
        <v>155636.544221689</v>
      </c>
      <c r="AZ43" s="43" t="n">
        <f aca="false">IF(D43=0,AZ42,AZ42*(1+Parameter!$C$61)+AT43*(1+Parameter!$C$61)^0.5)</f>
        <v>62766.2683996872</v>
      </c>
      <c r="BA43" s="43" t="n">
        <f aca="false">IF(D43=0,BA42,BA42*(1+Parameter!$C$62)+AU43*(1+Parameter!$C$62)^0.5-BD43)</f>
        <v>0</v>
      </c>
      <c r="BB43" s="43" t="n">
        <f aca="false">IF(D43=0,BB42,BB42+AU43+BC43)</f>
        <v>0</v>
      </c>
      <c r="BC43" s="43" t="n">
        <f aca="false">MAX(0,MIN(BA42*(1+Parameter!$C$62)+AU43*(1+Parameter!$C$62)^0.5-BA42-AU43,BA42*Parameter!$C$39*Parameter!$C$40))</f>
        <v>0</v>
      </c>
      <c r="BD43" s="43" t="n">
        <f aca="false">MAX(0,BC43*(1-Parameter!$C$37)-Parameter!$C$67)*Parameter!$C$36</f>
        <v>0</v>
      </c>
      <c r="BE43" s="43" t="n">
        <f aca="false">IF(D43=0,BE42,BE42*(1+Parameter!$C$62)+AV43*(1+Parameter!$C$62)^0.5-BH43)</f>
        <v>167462.743358363</v>
      </c>
      <c r="BF43" s="43" t="n">
        <f aca="false">IF(D43=0,BF42,BF42+AV43+BG43)</f>
        <v>95281.8595308716</v>
      </c>
      <c r="BG43" s="43" t="n">
        <f aca="false">MAX(0,MIN(BE42*(1+Parameter!$C$62)+AV43*(1+Parameter!$C$62)^0.5-BE42-AV43,BE42*Parameter!$C$39*Parameter!$C$40))</f>
        <v>3751.16545122732</v>
      </c>
      <c r="BH43" s="43" t="n">
        <f aca="false">MAX(0,BG43*(1-Parameter!$C$37)-Parameter!$C$67)*Parameter!$C$36</f>
        <v>428.808921432844</v>
      </c>
      <c r="BI43" s="41" t="n">
        <f aca="false">R43/(Parameter!$C$8*E43)</f>
        <v>0</v>
      </c>
      <c r="BJ43" s="41" t="n">
        <f aca="false">BJ42+BI43</f>
        <v>1.59402433389804</v>
      </c>
    </row>
    <row r="44" customFormat="false" ht="15" hidden="false" customHeight="false" outlineLevel="0" collapsed="false">
      <c r="A44" s="30" t="n">
        <f aca="false">2026+36</f>
        <v>2062</v>
      </c>
      <c r="B44" s="30" t="n">
        <f aca="false">Eingaben!$C$5+36</f>
        <v>76</v>
      </c>
      <c r="C44" s="30" t="n">
        <f aca="false">IF(AND(B44&lt;Eingaben!$C$8,B44&lt;Eingaben!$C$6),1,0)</f>
        <v>0</v>
      </c>
      <c r="D44" s="30" t="n">
        <f aca="false">IF(B44&lt;Eingaben!$C$6,1,0)</f>
        <v>0</v>
      </c>
      <c r="E44" s="38" t="n">
        <f aca="false">(1+Eingaben!$C$13)^36</f>
        <v>2.43253531571789</v>
      </c>
      <c r="F44" s="38" t="n">
        <f aca="false">(1+Eingaben!$C$17)^36</f>
        <v>2.03988734371571</v>
      </c>
      <c r="G44" s="39" t="n">
        <f aca="false">IF(B44&gt;=Eingaben!$C$9,Eingaben!$C$10,1)</f>
        <v>0.6</v>
      </c>
      <c r="H44" s="40" t="n">
        <f aca="false">Eingaben!$C$12*E44*G44*C44</f>
        <v>0</v>
      </c>
      <c r="I44" s="40" t="n">
        <f aca="false">Parameter!$C$4*E44</f>
        <v>246659.081013794</v>
      </c>
      <c r="J44" s="40" t="n">
        <f aca="false">Parameter!$C$5*E44</f>
        <v>169669.338271323</v>
      </c>
      <c r="K44" s="40" t="n">
        <f aca="false">MIN(H44,12*(IF(Eingaben!$C$22=2,Umrechnung!$C$54,Eingaben!$C$23))*IF(Eingaben!$C$25=1,E44,1))*C44</f>
        <v>0</v>
      </c>
      <c r="L44" s="40" t="n">
        <f aca="false">MIN(K44,MAX(0,Parameter!$C$42*I44-N44))</f>
        <v>0</v>
      </c>
      <c r="M44" s="40" t="n">
        <f aca="false">MIN(K44,Parameter!$C$43*I44)</f>
        <v>0</v>
      </c>
      <c r="N44" s="40" t="n">
        <f aca="false">IF(Eingaben!$C$27=2,MIN(Eingaben!$C$26*K44,U44),Eingaben!$C$26*IF(Eingaben!$C$27=1,M44,K44))</f>
        <v>0</v>
      </c>
      <c r="O44" s="40" t="n">
        <f aca="false">K44+N44</f>
        <v>0</v>
      </c>
      <c r="P44" s="40" t="n">
        <f aca="false">MIN(O44,Parameter!$C$42*I44)</f>
        <v>0</v>
      </c>
      <c r="Q44" s="40" t="n">
        <f aca="false">O44-P44</f>
        <v>0</v>
      </c>
      <c r="R44" s="40" t="n">
        <f aca="false">MIN(H44,I44)-MIN(H44-M44,I44)</f>
        <v>0</v>
      </c>
      <c r="S44" s="40" t="n">
        <f aca="false">MIN(H44,J44)-MIN(H44-M44,J44)</f>
        <v>0</v>
      </c>
      <c r="T44" s="40" t="n">
        <f aca="false">R44*(Parameter!$C$10+Parameter!$C$11)+S44*((Parameter!$C$12+Parameter!$C$13)/2+Parameter!$C$58)</f>
        <v>0</v>
      </c>
      <c r="U44" s="40" t="n">
        <f aca="false">R44*(Parameter!$C$10+Parameter!$C$11)+S44*((Parameter!$C$12+Parameter!$C$13)/2+Parameter!$C$15)</f>
        <v>0</v>
      </c>
      <c r="V44" s="40" t="n">
        <f aca="false">MIN(H44,I44)*Parameter!$C$10+MIN(H44,J44)*(0.96*(Parameter!$C$12+Parameter!$C$13)/2+Parameter!$C$58)</f>
        <v>0</v>
      </c>
      <c r="W44" s="40" t="n">
        <f aca="false">MIN(H44-M44,I44)*Parameter!$C$10+MIN(H44-M44,J44)*(0.96*(Parameter!$C$12+Parameter!$C$13)/2+Parameter!$C$58)</f>
        <v>0</v>
      </c>
      <c r="X44" s="40" t="n">
        <f aca="false">MAX(0,H44-Parameter!$C$32*F44-Parameter!$C$33-V44)</f>
        <v>0</v>
      </c>
      <c r="Y44" s="40" t="n">
        <f aca="false">MAX(0,H44-L44-Parameter!$C$32*F44-Parameter!$C$33-W44)</f>
        <v>0</v>
      </c>
      <c r="Z44" s="40" t="n">
        <f aca="false">MAX(0,(X44+IF(Eingaben!$C$14=3,Eingaben!$C$15,0))/Parameter!$C$57/F44)</f>
        <v>0</v>
      </c>
      <c r="AA44" s="40" t="n">
        <f aca="false">Parameter!$C$57*F44*(IF(Z44&lt;=Parameter!$C$18,0,IF(Z44&lt;=Parameter!$C$19,(Parameter!$C$22*(Z44-Parameter!$C$18)/10000+Parameter!$C$23)*(Z44-Parameter!$C$18)/10000,IF(Z44&lt;=Parameter!$C$20,(Parameter!$C$24*(Z44-Parameter!$C$19)/10000+Parameter!$C$25)*(Z44-Parameter!$C$19)/10000+Parameter!$C$26,IF(Z44&lt;=Parameter!$C$21,0.42*Z44-Parameter!$C$27,0.45*Z44-Parameter!$C$28)))))</f>
        <v>0</v>
      </c>
      <c r="AB44" s="40" t="n">
        <f aca="false">AA44+IF(AA44&lt;=(Parameter!$C$30*Parameter!$C$57*F44),0,MIN(Parameter!$C$29*AA44,Parameter!$C$31*(AA44-(Parameter!$C$30*Parameter!$C$57*F44))))+Eingaben!$C$16*AA44</f>
        <v>0</v>
      </c>
      <c r="AC44" s="40" t="n">
        <f aca="false">MAX(0,(Y44+IF(Eingaben!$C$14=3,Eingaben!$C$15,0))/Parameter!$C$57/F44)</f>
        <v>0</v>
      </c>
      <c r="AD44" s="40" t="n">
        <f aca="false">Parameter!$C$57*F44*(IF(AC44&lt;=Parameter!$C$18,0,IF(AC44&lt;=Parameter!$C$19,(Parameter!$C$22*(AC44-Parameter!$C$18)/10000+Parameter!$C$23)*(AC44-Parameter!$C$18)/10000,IF(AC44&lt;=Parameter!$C$20,(Parameter!$C$24*(AC44-Parameter!$C$19)/10000+Parameter!$C$25)*(AC44-Parameter!$C$19)/10000+Parameter!$C$26,IF(AC44&lt;=Parameter!$C$21,0.42*AC44-Parameter!$C$27,0.45*AC44-Parameter!$C$28)))))</f>
        <v>0</v>
      </c>
      <c r="AE44" s="40" t="n">
        <f aca="false">AD44+IF(AD44&lt;=(Parameter!$C$30*Parameter!$C$57*F44),0,MIN(Parameter!$C$29*AD44,Parameter!$C$31*(AD44-(Parameter!$C$30*Parameter!$C$57*F44))))+Eingaben!$C$16*AD44</f>
        <v>0</v>
      </c>
      <c r="AF44" s="40" t="n">
        <f aca="false">AB44-AE44</f>
        <v>0</v>
      </c>
      <c r="AG44" s="40" t="n">
        <f aca="false">MAX(0,K44-T44-AF44)</f>
        <v>0</v>
      </c>
      <c r="AH44" s="40" t="n">
        <f aca="false">MIN(AG44,Parameter!$C$49)</f>
        <v>0</v>
      </c>
      <c r="AI44" s="40" t="n">
        <f aca="false">Parameter!$C$44*MIN(AH44,Parameter!$C$45)+Parameter!$C$46*MAX(0,MIN(AH44,Parameter!$C$47)-Parameter!$C$45)</f>
        <v>0</v>
      </c>
      <c r="AJ44" s="40" t="n">
        <f aca="false">MIN(AH44,Parameter!$C$48)*Eingaben!$C$18*IF(36&lt;Eingaben!$C$19,1,0)</f>
        <v>0</v>
      </c>
      <c r="AK44" s="40" t="n">
        <f aca="false">MIN(AI44+AJ44,MAX(0,Parameter!$C$49-AH44))</f>
        <v>0</v>
      </c>
      <c r="AL44" s="40" t="n">
        <f aca="false">MIN(MIN(AH44,Parameter!$C$47)+AK44,Parameter!$C$50)</f>
        <v>0</v>
      </c>
      <c r="AM44" s="40" t="n">
        <f aca="false">MAX(0,X44-AL44)</f>
        <v>0</v>
      </c>
      <c r="AN44" s="40" t="n">
        <f aca="false">MAX(0,(AM44+IF(Eingaben!$C$14=3,Eingaben!$C$15,0))/Parameter!$C$57/F44)</f>
        <v>0</v>
      </c>
      <c r="AO44" s="40" t="n">
        <f aca="false">Parameter!$C$57*F44*(IF(AN44&lt;=Parameter!$C$18,0,IF(AN44&lt;=Parameter!$C$19,(Parameter!$C$22*(AN44-Parameter!$C$18)/10000+Parameter!$C$23)*(AN44-Parameter!$C$18)/10000,IF(AN44&lt;=Parameter!$C$20,(Parameter!$C$24*(AN44-Parameter!$C$19)/10000+Parameter!$C$25)*(AN44-Parameter!$C$19)/10000+Parameter!$C$26,IF(AN44&lt;=Parameter!$C$21,0.42*AN44-Parameter!$C$27,0.45*AN44-Parameter!$C$28)))))</f>
        <v>0</v>
      </c>
      <c r="AP44" s="40" t="n">
        <f aca="false">AO44+IF(AO44&lt;=(Parameter!$C$30*Parameter!$C$57*F44),0,MIN(Parameter!$C$29*AO44,Parameter!$C$31*(AO44-(Parameter!$C$30*Parameter!$C$57*F44))))+Eingaben!$C$16*AO44</f>
        <v>0</v>
      </c>
      <c r="AQ44" s="40" t="n">
        <f aca="false">AB44-AP44</f>
        <v>0</v>
      </c>
      <c r="AR44" s="40" t="n">
        <f aca="false">MAX(0,AQ44-AK44)</f>
        <v>0</v>
      </c>
      <c r="AS44" s="40" t="n">
        <f aca="false">MIN(AH44,Parameter!$C$47)+AK44</f>
        <v>0</v>
      </c>
      <c r="AT44" s="40" t="n">
        <f aca="false">MAX(0,AH44-Parameter!$C$47)+AR43</f>
        <v>0</v>
      </c>
      <c r="AU44" s="40" t="n">
        <f aca="false">MAX(0,AG44-Parameter!$C$49)</f>
        <v>0</v>
      </c>
      <c r="AV44" s="40" t="n">
        <f aca="false">AG44</f>
        <v>0</v>
      </c>
      <c r="AW44" s="40" t="n">
        <f aca="false">IF(D44=0,AW43,AW43*(1+Parameter!$C$60)+P44*(1+Parameter!$C$60)^0.5)</f>
        <v>327329.147588884</v>
      </c>
      <c r="AX44" s="40" t="n">
        <f aca="false">IF(D44=0,AX43,AX43*(1+Parameter!$C$60)+Q44*(1+Parameter!$C$60)^0.5)</f>
        <v>0</v>
      </c>
      <c r="AY44" s="40" t="n">
        <f aca="false">IF(D44=0,AY43,AY43*(1+Parameter!$C$61)+AS44*(1+Parameter!$C$61)^0.5)</f>
        <v>155636.544221689</v>
      </c>
      <c r="AZ44" s="40" t="n">
        <f aca="false">IF(D44=0,AZ43,AZ43*(1+Parameter!$C$61)+AT44*(1+Parameter!$C$61)^0.5)</f>
        <v>62766.2683996872</v>
      </c>
      <c r="BA44" s="40" t="n">
        <f aca="false">IF(D44=0,BA43,BA43*(1+Parameter!$C$62)+AU44*(1+Parameter!$C$62)^0.5-BD44)</f>
        <v>0</v>
      </c>
      <c r="BB44" s="40" t="n">
        <f aca="false">IF(D44=0,BB43,BB43+AU44+BC44)</f>
        <v>0</v>
      </c>
      <c r="BC44" s="40" t="n">
        <f aca="false">MAX(0,MIN(BA43*(1+Parameter!$C$62)+AU44*(1+Parameter!$C$62)^0.5-BA43-AU44,BA43*Parameter!$C$39*Parameter!$C$40))</f>
        <v>0</v>
      </c>
      <c r="BD44" s="40" t="n">
        <f aca="false">MAX(0,BC44*(1-Parameter!$C$37)-Parameter!$C$67)*Parameter!$C$36</f>
        <v>0</v>
      </c>
      <c r="BE44" s="40" t="n">
        <f aca="false">IF(D44=0,BE43,BE43*(1+Parameter!$C$62)+AV44*(1+Parameter!$C$62)^0.5-BH44)</f>
        <v>167462.743358363</v>
      </c>
      <c r="BF44" s="40" t="n">
        <f aca="false">IF(D44=0,BF43,BF43+AV44+BG44)</f>
        <v>95281.8595308716</v>
      </c>
      <c r="BG44" s="40" t="n">
        <f aca="false">MAX(0,MIN(BE43*(1+Parameter!$C$62)+AV44*(1+Parameter!$C$62)^0.5-BE43-AV44,BE43*Parameter!$C$39*Parameter!$C$40))</f>
        <v>3751.16545122732</v>
      </c>
      <c r="BH44" s="40" t="n">
        <f aca="false">MAX(0,BG44*(1-Parameter!$C$37)-Parameter!$C$67)*Parameter!$C$36</f>
        <v>428.808921432844</v>
      </c>
      <c r="BI44" s="38" t="n">
        <f aca="false">R44/(Parameter!$C$8*E44)</f>
        <v>0</v>
      </c>
      <c r="BJ44" s="38" t="n">
        <f aca="false">BJ43+BI44</f>
        <v>1.59402433389804</v>
      </c>
    </row>
    <row r="45" customFormat="false" ht="15" hidden="false" customHeight="false" outlineLevel="0" collapsed="false">
      <c r="A45" s="32" t="n">
        <f aca="false">2026+37</f>
        <v>2063</v>
      </c>
      <c r="B45" s="32" t="n">
        <f aca="false">Eingaben!$C$5+37</f>
        <v>77</v>
      </c>
      <c r="C45" s="32" t="n">
        <f aca="false">IF(AND(B45&lt;Eingaben!$C$8,B45&lt;Eingaben!$C$6),1,0)</f>
        <v>0</v>
      </c>
      <c r="D45" s="32" t="n">
        <f aca="false">IF(B45&lt;Eingaben!$C$6,1,0)</f>
        <v>0</v>
      </c>
      <c r="E45" s="41" t="n">
        <f aca="false">(1+Eingaben!$C$13)^37</f>
        <v>2.49334869861084</v>
      </c>
      <c r="F45" s="41" t="n">
        <f aca="false">(1+Eingaben!$C$17)^37</f>
        <v>2.08068509059002</v>
      </c>
      <c r="G45" s="42" t="n">
        <f aca="false">IF(B45&gt;=Eingaben!$C$9,Eingaben!$C$10,1)</f>
        <v>0.6</v>
      </c>
      <c r="H45" s="43" t="n">
        <f aca="false">Eingaben!$C$12*E45*G45*C45</f>
        <v>0</v>
      </c>
      <c r="I45" s="43" t="n">
        <f aca="false">Parameter!$C$4*E45</f>
        <v>252825.558039139</v>
      </c>
      <c r="J45" s="43" t="n">
        <f aca="false">Parameter!$C$5*E45</f>
        <v>173911.071728106</v>
      </c>
      <c r="K45" s="43" t="n">
        <f aca="false">MIN(H45,12*(IF(Eingaben!$C$22=2,Umrechnung!$C$54,Eingaben!$C$23))*IF(Eingaben!$C$25=1,E45,1))*C45</f>
        <v>0</v>
      </c>
      <c r="L45" s="43" t="n">
        <f aca="false">MIN(K45,MAX(0,Parameter!$C$42*I45-N45))</f>
        <v>0</v>
      </c>
      <c r="M45" s="43" t="n">
        <f aca="false">MIN(K45,Parameter!$C$43*I45)</f>
        <v>0</v>
      </c>
      <c r="N45" s="43" t="n">
        <f aca="false">IF(Eingaben!$C$27=2,MIN(Eingaben!$C$26*K45,U45),Eingaben!$C$26*IF(Eingaben!$C$27=1,M45,K45))</f>
        <v>0</v>
      </c>
      <c r="O45" s="43" t="n">
        <f aca="false">K45+N45</f>
        <v>0</v>
      </c>
      <c r="P45" s="43" t="n">
        <f aca="false">MIN(O45,Parameter!$C$42*I45)</f>
        <v>0</v>
      </c>
      <c r="Q45" s="43" t="n">
        <f aca="false">O45-P45</f>
        <v>0</v>
      </c>
      <c r="R45" s="43" t="n">
        <f aca="false">MIN(H45,I45)-MIN(H45-M45,I45)</f>
        <v>0</v>
      </c>
      <c r="S45" s="43" t="n">
        <f aca="false">MIN(H45,J45)-MIN(H45-M45,J45)</f>
        <v>0</v>
      </c>
      <c r="T45" s="43" t="n">
        <f aca="false">R45*(Parameter!$C$10+Parameter!$C$11)+S45*((Parameter!$C$12+Parameter!$C$13)/2+Parameter!$C$58)</f>
        <v>0</v>
      </c>
      <c r="U45" s="43" t="n">
        <f aca="false">R45*(Parameter!$C$10+Parameter!$C$11)+S45*((Parameter!$C$12+Parameter!$C$13)/2+Parameter!$C$15)</f>
        <v>0</v>
      </c>
      <c r="V45" s="43" t="n">
        <f aca="false">MIN(H45,I45)*Parameter!$C$10+MIN(H45,J45)*(0.96*(Parameter!$C$12+Parameter!$C$13)/2+Parameter!$C$58)</f>
        <v>0</v>
      </c>
      <c r="W45" s="43" t="n">
        <f aca="false">MIN(H45-M45,I45)*Parameter!$C$10+MIN(H45-M45,J45)*(0.96*(Parameter!$C$12+Parameter!$C$13)/2+Parameter!$C$58)</f>
        <v>0</v>
      </c>
      <c r="X45" s="43" t="n">
        <f aca="false">MAX(0,H45-Parameter!$C$32*F45-Parameter!$C$33-V45)</f>
        <v>0</v>
      </c>
      <c r="Y45" s="43" t="n">
        <f aca="false">MAX(0,H45-L45-Parameter!$C$32*F45-Parameter!$C$33-W45)</f>
        <v>0</v>
      </c>
      <c r="Z45" s="43" t="n">
        <f aca="false">MAX(0,(X45+IF(Eingaben!$C$14=3,Eingaben!$C$15,0))/Parameter!$C$57/F45)</f>
        <v>0</v>
      </c>
      <c r="AA45" s="43" t="n">
        <f aca="false">Parameter!$C$57*F45*(IF(Z45&lt;=Parameter!$C$18,0,IF(Z45&lt;=Parameter!$C$19,(Parameter!$C$22*(Z45-Parameter!$C$18)/10000+Parameter!$C$23)*(Z45-Parameter!$C$18)/10000,IF(Z45&lt;=Parameter!$C$20,(Parameter!$C$24*(Z45-Parameter!$C$19)/10000+Parameter!$C$25)*(Z45-Parameter!$C$19)/10000+Parameter!$C$26,IF(Z45&lt;=Parameter!$C$21,0.42*Z45-Parameter!$C$27,0.45*Z45-Parameter!$C$28)))))</f>
        <v>0</v>
      </c>
      <c r="AB45" s="43" t="n">
        <f aca="false">AA45+IF(AA45&lt;=(Parameter!$C$30*Parameter!$C$57*F45),0,MIN(Parameter!$C$29*AA45,Parameter!$C$31*(AA45-(Parameter!$C$30*Parameter!$C$57*F45))))+Eingaben!$C$16*AA45</f>
        <v>0</v>
      </c>
      <c r="AC45" s="43" t="n">
        <f aca="false">MAX(0,(Y45+IF(Eingaben!$C$14=3,Eingaben!$C$15,0))/Parameter!$C$57/F45)</f>
        <v>0</v>
      </c>
      <c r="AD45" s="43" t="n">
        <f aca="false">Parameter!$C$57*F45*(IF(AC45&lt;=Parameter!$C$18,0,IF(AC45&lt;=Parameter!$C$19,(Parameter!$C$22*(AC45-Parameter!$C$18)/10000+Parameter!$C$23)*(AC45-Parameter!$C$18)/10000,IF(AC45&lt;=Parameter!$C$20,(Parameter!$C$24*(AC45-Parameter!$C$19)/10000+Parameter!$C$25)*(AC45-Parameter!$C$19)/10000+Parameter!$C$26,IF(AC45&lt;=Parameter!$C$21,0.42*AC45-Parameter!$C$27,0.45*AC45-Parameter!$C$28)))))</f>
        <v>0</v>
      </c>
      <c r="AE45" s="43" t="n">
        <f aca="false">AD45+IF(AD45&lt;=(Parameter!$C$30*Parameter!$C$57*F45),0,MIN(Parameter!$C$29*AD45,Parameter!$C$31*(AD45-(Parameter!$C$30*Parameter!$C$57*F45))))+Eingaben!$C$16*AD45</f>
        <v>0</v>
      </c>
      <c r="AF45" s="43" t="n">
        <f aca="false">AB45-AE45</f>
        <v>0</v>
      </c>
      <c r="AG45" s="43" t="n">
        <f aca="false">MAX(0,K45-T45-AF45)</f>
        <v>0</v>
      </c>
      <c r="AH45" s="43" t="n">
        <f aca="false">MIN(AG45,Parameter!$C$49)</f>
        <v>0</v>
      </c>
      <c r="AI45" s="43" t="n">
        <f aca="false">Parameter!$C$44*MIN(AH45,Parameter!$C$45)+Parameter!$C$46*MAX(0,MIN(AH45,Parameter!$C$47)-Parameter!$C$45)</f>
        <v>0</v>
      </c>
      <c r="AJ45" s="43" t="n">
        <f aca="false">MIN(AH45,Parameter!$C$48)*Eingaben!$C$18*IF(37&lt;Eingaben!$C$19,1,0)</f>
        <v>0</v>
      </c>
      <c r="AK45" s="43" t="n">
        <f aca="false">MIN(AI45+AJ45,MAX(0,Parameter!$C$49-AH45))</f>
        <v>0</v>
      </c>
      <c r="AL45" s="43" t="n">
        <f aca="false">MIN(MIN(AH45,Parameter!$C$47)+AK45,Parameter!$C$50)</f>
        <v>0</v>
      </c>
      <c r="AM45" s="43" t="n">
        <f aca="false">MAX(0,X45-AL45)</f>
        <v>0</v>
      </c>
      <c r="AN45" s="43" t="n">
        <f aca="false">MAX(0,(AM45+IF(Eingaben!$C$14=3,Eingaben!$C$15,0))/Parameter!$C$57/F45)</f>
        <v>0</v>
      </c>
      <c r="AO45" s="43" t="n">
        <f aca="false">Parameter!$C$57*F45*(IF(AN45&lt;=Parameter!$C$18,0,IF(AN45&lt;=Parameter!$C$19,(Parameter!$C$22*(AN45-Parameter!$C$18)/10000+Parameter!$C$23)*(AN45-Parameter!$C$18)/10000,IF(AN45&lt;=Parameter!$C$20,(Parameter!$C$24*(AN45-Parameter!$C$19)/10000+Parameter!$C$25)*(AN45-Parameter!$C$19)/10000+Parameter!$C$26,IF(AN45&lt;=Parameter!$C$21,0.42*AN45-Parameter!$C$27,0.45*AN45-Parameter!$C$28)))))</f>
        <v>0</v>
      </c>
      <c r="AP45" s="43" t="n">
        <f aca="false">AO45+IF(AO45&lt;=(Parameter!$C$30*Parameter!$C$57*F45),0,MIN(Parameter!$C$29*AO45,Parameter!$C$31*(AO45-(Parameter!$C$30*Parameter!$C$57*F45))))+Eingaben!$C$16*AO45</f>
        <v>0</v>
      </c>
      <c r="AQ45" s="43" t="n">
        <f aca="false">AB45-AP45</f>
        <v>0</v>
      </c>
      <c r="AR45" s="43" t="n">
        <f aca="false">MAX(0,AQ45-AK45)</f>
        <v>0</v>
      </c>
      <c r="AS45" s="43" t="n">
        <f aca="false">MIN(AH45,Parameter!$C$47)+AK45</f>
        <v>0</v>
      </c>
      <c r="AT45" s="43" t="n">
        <f aca="false">MAX(0,AH45-Parameter!$C$47)+AR44</f>
        <v>0</v>
      </c>
      <c r="AU45" s="43" t="n">
        <f aca="false">MAX(0,AG45-Parameter!$C$49)</f>
        <v>0</v>
      </c>
      <c r="AV45" s="43" t="n">
        <f aca="false">AG45</f>
        <v>0</v>
      </c>
      <c r="AW45" s="43" t="n">
        <f aca="false">IF(D45=0,AW44,AW44*(1+Parameter!$C$60)+P45*(1+Parameter!$C$60)^0.5)</f>
        <v>327329.147588884</v>
      </c>
      <c r="AX45" s="43" t="n">
        <f aca="false">IF(D45=0,AX44,AX44*(1+Parameter!$C$60)+Q45*(1+Parameter!$C$60)^0.5)</f>
        <v>0</v>
      </c>
      <c r="AY45" s="43" t="n">
        <f aca="false">IF(D45=0,AY44,AY44*(1+Parameter!$C$61)+AS45*(1+Parameter!$C$61)^0.5)</f>
        <v>155636.544221689</v>
      </c>
      <c r="AZ45" s="43" t="n">
        <f aca="false">IF(D45=0,AZ44,AZ44*(1+Parameter!$C$61)+AT45*(1+Parameter!$C$61)^0.5)</f>
        <v>62766.2683996872</v>
      </c>
      <c r="BA45" s="43" t="n">
        <f aca="false">IF(D45=0,BA44,BA44*(1+Parameter!$C$62)+AU45*(1+Parameter!$C$62)^0.5-BD45)</f>
        <v>0</v>
      </c>
      <c r="BB45" s="43" t="n">
        <f aca="false">IF(D45=0,BB44,BB44+AU45+BC45)</f>
        <v>0</v>
      </c>
      <c r="BC45" s="43" t="n">
        <f aca="false">MAX(0,MIN(BA44*(1+Parameter!$C$62)+AU45*(1+Parameter!$C$62)^0.5-BA44-AU45,BA44*Parameter!$C$39*Parameter!$C$40))</f>
        <v>0</v>
      </c>
      <c r="BD45" s="43" t="n">
        <f aca="false">MAX(0,BC45*(1-Parameter!$C$37)-Parameter!$C$67)*Parameter!$C$36</f>
        <v>0</v>
      </c>
      <c r="BE45" s="43" t="n">
        <f aca="false">IF(D45=0,BE44,BE44*(1+Parameter!$C$62)+AV45*(1+Parameter!$C$62)^0.5-BH45)</f>
        <v>167462.743358363</v>
      </c>
      <c r="BF45" s="43" t="n">
        <f aca="false">IF(D45=0,BF44,BF44+AV45+BG45)</f>
        <v>95281.8595308716</v>
      </c>
      <c r="BG45" s="43" t="n">
        <f aca="false">MAX(0,MIN(BE44*(1+Parameter!$C$62)+AV45*(1+Parameter!$C$62)^0.5-BE44-AV45,BE44*Parameter!$C$39*Parameter!$C$40))</f>
        <v>3751.16545122732</v>
      </c>
      <c r="BH45" s="43" t="n">
        <f aca="false">MAX(0,BG45*(1-Parameter!$C$37)-Parameter!$C$67)*Parameter!$C$36</f>
        <v>428.808921432844</v>
      </c>
      <c r="BI45" s="41" t="n">
        <f aca="false">R45/(Parameter!$C$8*E45)</f>
        <v>0</v>
      </c>
      <c r="BJ45" s="41" t="n">
        <f aca="false">BJ44+BI45</f>
        <v>1.59402433389804</v>
      </c>
    </row>
    <row r="46" customFormat="false" ht="15" hidden="false" customHeight="false" outlineLevel="0" collapsed="false">
      <c r="A46" s="30" t="n">
        <f aca="false">2026+38</f>
        <v>2064</v>
      </c>
      <c r="B46" s="30" t="n">
        <f aca="false">Eingaben!$C$5+38</f>
        <v>78</v>
      </c>
      <c r="C46" s="30" t="n">
        <f aca="false">IF(AND(B46&lt;Eingaben!$C$8,B46&lt;Eingaben!$C$6),1,0)</f>
        <v>0</v>
      </c>
      <c r="D46" s="30" t="n">
        <f aca="false">IF(B46&lt;Eingaben!$C$6,1,0)</f>
        <v>0</v>
      </c>
      <c r="E46" s="38" t="n">
        <f aca="false">(1+Eingaben!$C$13)^38</f>
        <v>2.55568241607611</v>
      </c>
      <c r="F46" s="38" t="n">
        <f aca="false">(1+Eingaben!$C$17)^38</f>
        <v>2.12229879240182</v>
      </c>
      <c r="G46" s="39" t="n">
        <f aca="false">IF(B46&gt;=Eingaben!$C$9,Eingaben!$C$10,1)</f>
        <v>0.6</v>
      </c>
      <c r="H46" s="40" t="n">
        <f aca="false">Eingaben!$C$12*E46*G46*C46</f>
        <v>0</v>
      </c>
      <c r="I46" s="40" t="n">
        <f aca="false">Parameter!$C$4*E46</f>
        <v>259146.196990118</v>
      </c>
      <c r="J46" s="40" t="n">
        <f aca="false">Parameter!$C$5*E46</f>
        <v>178258.848521309</v>
      </c>
      <c r="K46" s="40" t="n">
        <f aca="false">MIN(H46,12*(IF(Eingaben!$C$22=2,Umrechnung!$C$54,Eingaben!$C$23))*IF(Eingaben!$C$25=1,E46,1))*C46</f>
        <v>0</v>
      </c>
      <c r="L46" s="40" t="n">
        <f aca="false">MIN(K46,MAX(0,Parameter!$C$42*I46-N46))</f>
        <v>0</v>
      </c>
      <c r="M46" s="40" t="n">
        <f aca="false">MIN(K46,Parameter!$C$43*I46)</f>
        <v>0</v>
      </c>
      <c r="N46" s="40" t="n">
        <f aca="false">IF(Eingaben!$C$27=2,MIN(Eingaben!$C$26*K46,U46),Eingaben!$C$26*IF(Eingaben!$C$27=1,M46,K46))</f>
        <v>0</v>
      </c>
      <c r="O46" s="40" t="n">
        <f aca="false">K46+N46</f>
        <v>0</v>
      </c>
      <c r="P46" s="40" t="n">
        <f aca="false">MIN(O46,Parameter!$C$42*I46)</f>
        <v>0</v>
      </c>
      <c r="Q46" s="40" t="n">
        <f aca="false">O46-P46</f>
        <v>0</v>
      </c>
      <c r="R46" s="40" t="n">
        <f aca="false">MIN(H46,I46)-MIN(H46-M46,I46)</f>
        <v>0</v>
      </c>
      <c r="S46" s="40" t="n">
        <f aca="false">MIN(H46,J46)-MIN(H46-M46,J46)</f>
        <v>0</v>
      </c>
      <c r="T46" s="40" t="n">
        <f aca="false">R46*(Parameter!$C$10+Parameter!$C$11)+S46*((Parameter!$C$12+Parameter!$C$13)/2+Parameter!$C$58)</f>
        <v>0</v>
      </c>
      <c r="U46" s="40" t="n">
        <f aca="false">R46*(Parameter!$C$10+Parameter!$C$11)+S46*((Parameter!$C$12+Parameter!$C$13)/2+Parameter!$C$15)</f>
        <v>0</v>
      </c>
      <c r="V46" s="40" t="n">
        <f aca="false">MIN(H46,I46)*Parameter!$C$10+MIN(H46,J46)*(0.96*(Parameter!$C$12+Parameter!$C$13)/2+Parameter!$C$58)</f>
        <v>0</v>
      </c>
      <c r="W46" s="40" t="n">
        <f aca="false">MIN(H46-M46,I46)*Parameter!$C$10+MIN(H46-M46,J46)*(0.96*(Parameter!$C$12+Parameter!$C$13)/2+Parameter!$C$58)</f>
        <v>0</v>
      </c>
      <c r="X46" s="40" t="n">
        <f aca="false">MAX(0,H46-Parameter!$C$32*F46-Parameter!$C$33-V46)</f>
        <v>0</v>
      </c>
      <c r="Y46" s="40" t="n">
        <f aca="false">MAX(0,H46-L46-Parameter!$C$32*F46-Parameter!$C$33-W46)</f>
        <v>0</v>
      </c>
      <c r="Z46" s="40" t="n">
        <f aca="false">MAX(0,(X46+IF(Eingaben!$C$14=3,Eingaben!$C$15,0))/Parameter!$C$57/F46)</f>
        <v>0</v>
      </c>
      <c r="AA46" s="40" t="n">
        <f aca="false">Parameter!$C$57*F46*(IF(Z46&lt;=Parameter!$C$18,0,IF(Z46&lt;=Parameter!$C$19,(Parameter!$C$22*(Z46-Parameter!$C$18)/10000+Parameter!$C$23)*(Z46-Parameter!$C$18)/10000,IF(Z46&lt;=Parameter!$C$20,(Parameter!$C$24*(Z46-Parameter!$C$19)/10000+Parameter!$C$25)*(Z46-Parameter!$C$19)/10000+Parameter!$C$26,IF(Z46&lt;=Parameter!$C$21,0.42*Z46-Parameter!$C$27,0.45*Z46-Parameter!$C$28)))))</f>
        <v>0</v>
      </c>
      <c r="AB46" s="40" t="n">
        <f aca="false">AA46+IF(AA46&lt;=(Parameter!$C$30*Parameter!$C$57*F46),0,MIN(Parameter!$C$29*AA46,Parameter!$C$31*(AA46-(Parameter!$C$30*Parameter!$C$57*F46))))+Eingaben!$C$16*AA46</f>
        <v>0</v>
      </c>
      <c r="AC46" s="40" t="n">
        <f aca="false">MAX(0,(Y46+IF(Eingaben!$C$14=3,Eingaben!$C$15,0))/Parameter!$C$57/F46)</f>
        <v>0</v>
      </c>
      <c r="AD46" s="40" t="n">
        <f aca="false">Parameter!$C$57*F46*(IF(AC46&lt;=Parameter!$C$18,0,IF(AC46&lt;=Parameter!$C$19,(Parameter!$C$22*(AC46-Parameter!$C$18)/10000+Parameter!$C$23)*(AC46-Parameter!$C$18)/10000,IF(AC46&lt;=Parameter!$C$20,(Parameter!$C$24*(AC46-Parameter!$C$19)/10000+Parameter!$C$25)*(AC46-Parameter!$C$19)/10000+Parameter!$C$26,IF(AC46&lt;=Parameter!$C$21,0.42*AC46-Parameter!$C$27,0.45*AC46-Parameter!$C$28)))))</f>
        <v>0</v>
      </c>
      <c r="AE46" s="40" t="n">
        <f aca="false">AD46+IF(AD46&lt;=(Parameter!$C$30*Parameter!$C$57*F46),0,MIN(Parameter!$C$29*AD46,Parameter!$C$31*(AD46-(Parameter!$C$30*Parameter!$C$57*F46))))+Eingaben!$C$16*AD46</f>
        <v>0</v>
      </c>
      <c r="AF46" s="40" t="n">
        <f aca="false">AB46-AE46</f>
        <v>0</v>
      </c>
      <c r="AG46" s="40" t="n">
        <f aca="false">MAX(0,K46-T46-AF46)</f>
        <v>0</v>
      </c>
      <c r="AH46" s="40" t="n">
        <f aca="false">MIN(AG46,Parameter!$C$49)</f>
        <v>0</v>
      </c>
      <c r="AI46" s="40" t="n">
        <f aca="false">Parameter!$C$44*MIN(AH46,Parameter!$C$45)+Parameter!$C$46*MAX(0,MIN(AH46,Parameter!$C$47)-Parameter!$C$45)</f>
        <v>0</v>
      </c>
      <c r="AJ46" s="40" t="n">
        <f aca="false">MIN(AH46,Parameter!$C$48)*Eingaben!$C$18*IF(38&lt;Eingaben!$C$19,1,0)</f>
        <v>0</v>
      </c>
      <c r="AK46" s="40" t="n">
        <f aca="false">MIN(AI46+AJ46,MAX(0,Parameter!$C$49-AH46))</f>
        <v>0</v>
      </c>
      <c r="AL46" s="40" t="n">
        <f aca="false">MIN(MIN(AH46,Parameter!$C$47)+AK46,Parameter!$C$50)</f>
        <v>0</v>
      </c>
      <c r="AM46" s="40" t="n">
        <f aca="false">MAX(0,X46-AL46)</f>
        <v>0</v>
      </c>
      <c r="AN46" s="40" t="n">
        <f aca="false">MAX(0,(AM46+IF(Eingaben!$C$14=3,Eingaben!$C$15,0))/Parameter!$C$57/F46)</f>
        <v>0</v>
      </c>
      <c r="AO46" s="40" t="n">
        <f aca="false">Parameter!$C$57*F46*(IF(AN46&lt;=Parameter!$C$18,0,IF(AN46&lt;=Parameter!$C$19,(Parameter!$C$22*(AN46-Parameter!$C$18)/10000+Parameter!$C$23)*(AN46-Parameter!$C$18)/10000,IF(AN46&lt;=Parameter!$C$20,(Parameter!$C$24*(AN46-Parameter!$C$19)/10000+Parameter!$C$25)*(AN46-Parameter!$C$19)/10000+Parameter!$C$26,IF(AN46&lt;=Parameter!$C$21,0.42*AN46-Parameter!$C$27,0.45*AN46-Parameter!$C$28)))))</f>
        <v>0</v>
      </c>
      <c r="AP46" s="40" t="n">
        <f aca="false">AO46+IF(AO46&lt;=(Parameter!$C$30*Parameter!$C$57*F46),0,MIN(Parameter!$C$29*AO46,Parameter!$C$31*(AO46-(Parameter!$C$30*Parameter!$C$57*F46))))+Eingaben!$C$16*AO46</f>
        <v>0</v>
      </c>
      <c r="AQ46" s="40" t="n">
        <f aca="false">AB46-AP46</f>
        <v>0</v>
      </c>
      <c r="AR46" s="40" t="n">
        <f aca="false">MAX(0,AQ46-AK46)</f>
        <v>0</v>
      </c>
      <c r="AS46" s="40" t="n">
        <f aca="false">MIN(AH46,Parameter!$C$47)+AK46</f>
        <v>0</v>
      </c>
      <c r="AT46" s="40" t="n">
        <f aca="false">MAX(0,AH46-Parameter!$C$47)+AR45</f>
        <v>0</v>
      </c>
      <c r="AU46" s="40" t="n">
        <f aca="false">MAX(0,AG46-Parameter!$C$49)</f>
        <v>0</v>
      </c>
      <c r="AV46" s="40" t="n">
        <f aca="false">AG46</f>
        <v>0</v>
      </c>
      <c r="AW46" s="40" t="n">
        <f aca="false">IF(D46=0,AW45,AW45*(1+Parameter!$C$60)+P46*(1+Parameter!$C$60)^0.5)</f>
        <v>327329.147588884</v>
      </c>
      <c r="AX46" s="40" t="n">
        <f aca="false">IF(D46=0,AX45,AX45*(1+Parameter!$C$60)+Q46*(1+Parameter!$C$60)^0.5)</f>
        <v>0</v>
      </c>
      <c r="AY46" s="40" t="n">
        <f aca="false">IF(D46=0,AY45,AY45*(1+Parameter!$C$61)+AS46*(1+Parameter!$C$61)^0.5)</f>
        <v>155636.544221689</v>
      </c>
      <c r="AZ46" s="40" t="n">
        <f aca="false">IF(D46=0,AZ45,AZ45*(1+Parameter!$C$61)+AT46*(1+Parameter!$C$61)^0.5)</f>
        <v>62766.2683996872</v>
      </c>
      <c r="BA46" s="40" t="n">
        <f aca="false">IF(D46=0,BA45,BA45*(1+Parameter!$C$62)+AU46*(1+Parameter!$C$62)^0.5-BD46)</f>
        <v>0</v>
      </c>
      <c r="BB46" s="40" t="n">
        <f aca="false">IF(D46=0,BB45,BB45+AU46+BC46)</f>
        <v>0</v>
      </c>
      <c r="BC46" s="40" t="n">
        <f aca="false">MAX(0,MIN(BA45*(1+Parameter!$C$62)+AU46*(1+Parameter!$C$62)^0.5-BA45-AU46,BA45*Parameter!$C$39*Parameter!$C$40))</f>
        <v>0</v>
      </c>
      <c r="BD46" s="40" t="n">
        <f aca="false">MAX(0,BC46*(1-Parameter!$C$37)-Parameter!$C$67)*Parameter!$C$36</f>
        <v>0</v>
      </c>
      <c r="BE46" s="40" t="n">
        <f aca="false">IF(D46=0,BE45,BE45*(1+Parameter!$C$62)+AV46*(1+Parameter!$C$62)^0.5-BH46)</f>
        <v>167462.743358363</v>
      </c>
      <c r="BF46" s="40" t="n">
        <f aca="false">IF(D46=0,BF45,BF45+AV46+BG46)</f>
        <v>95281.8595308716</v>
      </c>
      <c r="BG46" s="40" t="n">
        <f aca="false">MAX(0,MIN(BE45*(1+Parameter!$C$62)+AV46*(1+Parameter!$C$62)^0.5-BE45-AV46,BE45*Parameter!$C$39*Parameter!$C$40))</f>
        <v>3751.16545122732</v>
      </c>
      <c r="BH46" s="40" t="n">
        <f aca="false">MAX(0,BG46*(1-Parameter!$C$37)-Parameter!$C$67)*Parameter!$C$36</f>
        <v>428.808921432844</v>
      </c>
      <c r="BI46" s="38" t="n">
        <f aca="false">R46/(Parameter!$C$8*E46)</f>
        <v>0</v>
      </c>
      <c r="BJ46" s="38" t="n">
        <f aca="false">BJ45+BI46</f>
        <v>1.59402433389804</v>
      </c>
    </row>
    <row r="47" customFormat="false" ht="15" hidden="false" customHeight="false" outlineLevel="0" collapsed="false">
      <c r="A47" s="32" t="n">
        <f aca="false">2026+39</f>
        <v>2065</v>
      </c>
      <c r="B47" s="32" t="n">
        <f aca="false">Eingaben!$C$5+39</f>
        <v>79</v>
      </c>
      <c r="C47" s="32" t="n">
        <f aca="false">IF(AND(B47&lt;Eingaben!$C$8,B47&lt;Eingaben!$C$6),1,0)</f>
        <v>0</v>
      </c>
      <c r="D47" s="32" t="n">
        <f aca="false">IF(B47&lt;Eingaben!$C$6,1,0)</f>
        <v>0</v>
      </c>
      <c r="E47" s="41" t="n">
        <f aca="false">(1+Eingaben!$C$13)^39</f>
        <v>2.61957447647801</v>
      </c>
      <c r="F47" s="41" t="n">
        <f aca="false">(1+Eingaben!$C$17)^39</f>
        <v>2.16474476824986</v>
      </c>
      <c r="G47" s="42" t="n">
        <f aca="false">IF(B47&gt;=Eingaben!$C$9,Eingaben!$C$10,1)</f>
        <v>0.6</v>
      </c>
      <c r="H47" s="43" t="n">
        <f aca="false">Eingaben!$C$12*E47*G47*C47</f>
        <v>0</v>
      </c>
      <c r="I47" s="43" t="n">
        <f aca="false">Parameter!$C$4*E47</f>
        <v>265624.851914871</v>
      </c>
      <c r="J47" s="43" t="n">
        <f aca="false">Parameter!$C$5*E47</f>
        <v>182715.319734341</v>
      </c>
      <c r="K47" s="43" t="n">
        <f aca="false">MIN(H47,12*(IF(Eingaben!$C$22=2,Umrechnung!$C$54,Eingaben!$C$23))*IF(Eingaben!$C$25=1,E47,1))*C47</f>
        <v>0</v>
      </c>
      <c r="L47" s="43" t="n">
        <f aca="false">MIN(K47,MAX(0,Parameter!$C$42*I47-N47))</f>
        <v>0</v>
      </c>
      <c r="M47" s="43" t="n">
        <f aca="false">MIN(K47,Parameter!$C$43*I47)</f>
        <v>0</v>
      </c>
      <c r="N47" s="43" t="n">
        <f aca="false">IF(Eingaben!$C$27=2,MIN(Eingaben!$C$26*K47,U47),Eingaben!$C$26*IF(Eingaben!$C$27=1,M47,K47))</f>
        <v>0</v>
      </c>
      <c r="O47" s="43" t="n">
        <f aca="false">K47+N47</f>
        <v>0</v>
      </c>
      <c r="P47" s="43" t="n">
        <f aca="false">MIN(O47,Parameter!$C$42*I47)</f>
        <v>0</v>
      </c>
      <c r="Q47" s="43" t="n">
        <f aca="false">O47-P47</f>
        <v>0</v>
      </c>
      <c r="R47" s="43" t="n">
        <f aca="false">MIN(H47,I47)-MIN(H47-M47,I47)</f>
        <v>0</v>
      </c>
      <c r="S47" s="43" t="n">
        <f aca="false">MIN(H47,J47)-MIN(H47-M47,J47)</f>
        <v>0</v>
      </c>
      <c r="T47" s="43" t="n">
        <f aca="false">R47*(Parameter!$C$10+Parameter!$C$11)+S47*((Parameter!$C$12+Parameter!$C$13)/2+Parameter!$C$58)</f>
        <v>0</v>
      </c>
      <c r="U47" s="43" t="n">
        <f aca="false">R47*(Parameter!$C$10+Parameter!$C$11)+S47*((Parameter!$C$12+Parameter!$C$13)/2+Parameter!$C$15)</f>
        <v>0</v>
      </c>
      <c r="V47" s="43" t="n">
        <f aca="false">MIN(H47,I47)*Parameter!$C$10+MIN(H47,J47)*(0.96*(Parameter!$C$12+Parameter!$C$13)/2+Parameter!$C$58)</f>
        <v>0</v>
      </c>
      <c r="W47" s="43" t="n">
        <f aca="false">MIN(H47-M47,I47)*Parameter!$C$10+MIN(H47-M47,J47)*(0.96*(Parameter!$C$12+Parameter!$C$13)/2+Parameter!$C$58)</f>
        <v>0</v>
      </c>
      <c r="X47" s="43" t="n">
        <f aca="false">MAX(0,H47-Parameter!$C$32*F47-Parameter!$C$33-V47)</f>
        <v>0</v>
      </c>
      <c r="Y47" s="43" t="n">
        <f aca="false">MAX(0,H47-L47-Parameter!$C$32*F47-Parameter!$C$33-W47)</f>
        <v>0</v>
      </c>
      <c r="Z47" s="43" t="n">
        <f aca="false">MAX(0,(X47+IF(Eingaben!$C$14=3,Eingaben!$C$15,0))/Parameter!$C$57/F47)</f>
        <v>0</v>
      </c>
      <c r="AA47" s="43" t="n">
        <f aca="false">Parameter!$C$57*F47*(IF(Z47&lt;=Parameter!$C$18,0,IF(Z47&lt;=Parameter!$C$19,(Parameter!$C$22*(Z47-Parameter!$C$18)/10000+Parameter!$C$23)*(Z47-Parameter!$C$18)/10000,IF(Z47&lt;=Parameter!$C$20,(Parameter!$C$24*(Z47-Parameter!$C$19)/10000+Parameter!$C$25)*(Z47-Parameter!$C$19)/10000+Parameter!$C$26,IF(Z47&lt;=Parameter!$C$21,0.42*Z47-Parameter!$C$27,0.45*Z47-Parameter!$C$28)))))</f>
        <v>0</v>
      </c>
      <c r="AB47" s="43" t="n">
        <f aca="false">AA47+IF(AA47&lt;=(Parameter!$C$30*Parameter!$C$57*F47),0,MIN(Parameter!$C$29*AA47,Parameter!$C$31*(AA47-(Parameter!$C$30*Parameter!$C$57*F47))))+Eingaben!$C$16*AA47</f>
        <v>0</v>
      </c>
      <c r="AC47" s="43" t="n">
        <f aca="false">MAX(0,(Y47+IF(Eingaben!$C$14=3,Eingaben!$C$15,0))/Parameter!$C$57/F47)</f>
        <v>0</v>
      </c>
      <c r="AD47" s="43" t="n">
        <f aca="false">Parameter!$C$57*F47*(IF(AC47&lt;=Parameter!$C$18,0,IF(AC47&lt;=Parameter!$C$19,(Parameter!$C$22*(AC47-Parameter!$C$18)/10000+Parameter!$C$23)*(AC47-Parameter!$C$18)/10000,IF(AC47&lt;=Parameter!$C$20,(Parameter!$C$24*(AC47-Parameter!$C$19)/10000+Parameter!$C$25)*(AC47-Parameter!$C$19)/10000+Parameter!$C$26,IF(AC47&lt;=Parameter!$C$21,0.42*AC47-Parameter!$C$27,0.45*AC47-Parameter!$C$28)))))</f>
        <v>0</v>
      </c>
      <c r="AE47" s="43" t="n">
        <f aca="false">AD47+IF(AD47&lt;=(Parameter!$C$30*Parameter!$C$57*F47),0,MIN(Parameter!$C$29*AD47,Parameter!$C$31*(AD47-(Parameter!$C$30*Parameter!$C$57*F47))))+Eingaben!$C$16*AD47</f>
        <v>0</v>
      </c>
      <c r="AF47" s="43" t="n">
        <f aca="false">AB47-AE47</f>
        <v>0</v>
      </c>
      <c r="AG47" s="43" t="n">
        <f aca="false">MAX(0,K47-T47-AF47)</f>
        <v>0</v>
      </c>
      <c r="AH47" s="43" t="n">
        <f aca="false">MIN(AG47,Parameter!$C$49)</f>
        <v>0</v>
      </c>
      <c r="AI47" s="43" t="n">
        <f aca="false">Parameter!$C$44*MIN(AH47,Parameter!$C$45)+Parameter!$C$46*MAX(0,MIN(AH47,Parameter!$C$47)-Parameter!$C$45)</f>
        <v>0</v>
      </c>
      <c r="AJ47" s="43" t="n">
        <f aca="false">MIN(AH47,Parameter!$C$48)*Eingaben!$C$18*IF(39&lt;Eingaben!$C$19,1,0)</f>
        <v>0</v>
      </c>
      <c r="AK47" s="43" t="n">
        <f aca="false">MIN(AI47+AJ47,MAX(0,Parameter!$C$49-AH47))</f>
        <v>0</v>
      </c>
      <c r="AL47" s="43" t="n">
        <f aca="false">MIN(MIN(AH47,Parameter!$C$47)+AK47,Parameter!$C$50)</f>
        <v>0</v>
      </c>
      <c r="AM47" s="43" t="n">
        <f aca="false">MAX(0,X47-AL47)</f>
        <v>0</v>
      </c>
      <c r="AN47" s="43" t="n">
        <f aca="false">MAX(0,(AM47+IF(Eingaben!$C$14=3,Eingaben!$C$15,0))/Parameter!$C$57/F47)</f>
        <v>0</v>
      </c>
      <c r="AO47" s="43" t="n">
        <f aca="false">Parameter!$C$57*F47*(IF(AN47&lt;=Parameter!$C$18,0,IF(AN47&lt;=Parameter!$C$19,(Parameter!$C$22*(AN47-Parameter!$C$18)/10000+Parameter!$C$23)*(AN47-Parameter!$C$18)/10000,IF(AN47&lt;=Parameter!$C$20,(Parameter!$C$24*(AN47-Parameter!$C$19)/10000+Parameter!$C$25)*(AN47-Parameter!$C$19)/10000+Parameter!$C$26,IF(AN47&lt;=Parameter!$C$21,0.42*AN47-Parameter!$C$27,0.45*AN47-Parameter!$C$28)))))</f>
        <v>0</v>
      </c>
      <c r="AP47" s="43" t="n">
        <f aca="false">AO47+IF(AO47&lt;=(Parameter!$C$30*Parameter!$C$57*F47),0,MIN(Parameter!$C$29*AO47,Parameter!$C$31*(AO47-(Parameter!$C$30*Parameter!$C$57*F47))))+Eingaben!$C$16*AO47</f>
        <v>0</v>
      </c>
      <c r="AQ47" s="43" t="n">
        <f aca="false">AB47-AP47</f>
        <v>0</v>
      </c>
      <c r="AR47" s="43" t="n">
        <f aca="false">MAX(0,AQ47-AK47)</f>
        <v>0</v>
      </c>
      <c r="AS47" s="43" t="n">
        <f aca="false">MIN(AH47,Parameter!$C$47)+AK47</f>
        <v>0</v>
      </c>
      <c r="AT47" s="43" t="n">
        <f aca="false">MAX(0,AH47-Parameter!$C$47)+AR46</f>
        <v>0</v>
      </c>
      <c r="AU47" s="43" t="n">
        <f aca="false">MAX(0,AG47-Parameter!$C$49)</f>
        <v>0</v>
      </c>
      <c r="AV47" s="43" t="n">
        <f aca="false">AG47</f>
        <v>0</v>
      </c>
      <c r="AW47" s="43" t="n">
        <f aca="false">IF(D47=0,AW46,AW46*(1+Parameter!$C$60)+P47*(1+Parameter!$C$60)^0.5)</f>
        <v>327329.147588884</v>
      </c>
      <c r="AX47" s="43" t="n">
        <f aca="false">IF(D47=0,AX46,AX46*(1+Parameter!$C$60)+Q47*(1+Parameter!$C$60)^0.5)</f>
        <v>0</v>
      </c>
      <c r="AY47" s="43" t="n">
        <f aca="false">IF(D47=0,AY46,AY46*(1+Parameter!$C$61)+AS47*(1+Parameter!$C$61)^0.5)</f>
        <v>155636.544221689</v>
      </c>
      <c r="AZ47" s="43" t="n">
        <f aca="false">IF(D47=0,AZ46,AZ46*(1+Parameter!$C$61)+AT47*(1+Parameter!$C$61)^0.5)</f>
        <v>62766.2683996872</v>
      </c>
      <c r="BA47" s="43" t="n">
        <f aca="false">IF(D47=0,BA46,BA46*(1+Parameter!$C$62)+AU47*(1+Parameter!$C$62)^0.5-BD47)</f>
        <v>0</v>
      </c>
      <c r="BB47" s="43" t="n">
        <f aca="false">IF(D47=0,BB46,BB46+AU47+BC47)</f>
        <v>0</v>
      </c>
      <c r="BC47" s="43" t="n">
        <f aca="false">MAX(0,MIN(BA46*(1+Parameter!$C$62)+AU47*(1+Parameter!$C$62)^0.5-BA46-AU47,BA46*Parameter!$C$39*Parameter!$C$40))</f>
        <v>0</v>
      </c>
      <c r="BD47" s="43" t="n">
        <f aca="false">MAX(0,BC47*(1-Parameter!$C$37)-Parameter!$C$67)*Parameter!$C$36</f>
        <v>0</v>
      </c>
      <c r="BE47" s="43" t="n">
        <f aca="false">IF(D47=0,BE46,BE46*(1+Parameter!$C$62)+AV47*(1+Parameter!$C$62)^0.5-BH47)</f>
        <v>167462.743358363</v>
      </c>
      <c r="BF47" s="43" t="n">
        <f aca="false">IF(D47=0,BF46,BF46+AV47+BG47)</f>
        <v>95281.8595308716</v>
      </c>
      <c r="BG47" s="43" t="n">
        <f aca="false">MAX(0,MIN(BE46*(1+Parameter!$C$62)+AV47*(1+Parameter!$C$62)^0.5-BE46-AV47,BE46*Parameter!$C$39*Parameter!$C$40))</f>
        <v>3751.16545122732</v>
      </c>
      <c r="BH47" s="43" t="n">
        <f aca="false">MAX(0,BG47*(1-Parameter!$C$37)-Parameter!$C$67)*Parameter!$C$36</f>
        <v>428.808921432844</v>
      </c>
      <c r="BI47" s="41" t="n">
        <f aca="false">R47/(Parameter!$C$8*E47)</f>
        <v>0</v>
      </c>
      <c r="BJ47" s="41" t="n">
        <f aca="false">BJ46+BI47</f>
        <v>1.59402433389804</v>
      </c>
    </row>
    <row r="48" customFormat="false" ht="15" hidden="false" customHeight="false" outlineLevel="0" collapsed="false">
      <c r="A48" s="30" t="n">
        <f aca="false">2026+40</f>
        <v>2066</v>
      </c>
      <c r="B48" s="30" t="n">
        <f aca="false">Eingaben!$C$5+40</f>
        <v>80</v>
      </c>
      <c r="C48" s="30" t="n">
        <f aca="false">IF(AND(B48&lt;Eingaben!$C$8,B48&lt;Eingaben!$C$6),1,0)</f>
        <v>0</v>
      </c>
      <c r="D48" s="30" t="n">
        <f aca="false">IF(B48&lt;Eingaben!$C$6,1,0)</f>
        <v>0</v>
      </c>
      <c r="E48" s="38" t="n">
        <f aca="false">(1+Eingaben!$C$13)^40</f>
        <v>2.68506383838996</v>
      </c>
      <c r="F48" s="38" t="n">
        <f aca="false">(1+Eingaben!$C$17)^40</f>
        <v>2.20803966361485</v>
      </c>
      <c r="G48" s="39" t="n">
        <f aca="false">IF(B48&gt;=Eingaben!$C$9,Eingaben!$C$10,1)</f>
        <v>0.6</v>
      </c>
      <c r="H48" s="40" t="n">
        <f aca="false">Eingaben!$C$12*E48*G48*C48</f>
        <v>0</v>
      </c>
      <c r="I48" s="40" t="n">
        <f aca="false">Parameter!$C$4*E48</f>
        <v>272265.473212742</v>
      </c>
      <c r="J48" s="40" t="n">
        <f aca="false">Parameter!$C$5*E48</f>
        <v>187283.2027277</v>
      </c>
      <c r="K48" s="40" t="n">
        <f aca="false">MIN(H48,12*(IF(Eingaben!$C$22=2,Umrechnung!$C$54,Eingaben!$C$23))*IF(Eingaben!$C$25=1,E48,1))*C48</f>
        <v>0</v>
      </c>
      <c r="L48" s="40" t="n">
        <f aca="false">MIN(K48,MAX(0,Parameter!$C$42*I48-N48))</f>
        <v>0</v>
      </c>
      <c r="M48" s="40" t="n">
        <f aca="false">MIN(K48,Parameter!$C$43*I48)</f>
        <v>0</v>
      </c>
      <c r="N48" s="40" t="n">
        <f aca="false">IF(Eingaben!$C$27=2,MIN(Eingaben!$C$26*K48,U48),Eingaben!$C$26*IF(Eingaben!$C$27=1,M48,K48))</f>
        <v>0</v>
      </c>
      <c r="O48" s="40" t="n">
        <f aca="false">K48+N48</f>
        <v>0</v>
      </c>
      <c r="P48" s="40" t="n">
        <f aca="false">MIN(O48,Parameter!$C$42*I48)</f>
        <v>0</v>
      </c>
      <c r="Q48" s="40" t="n">
        <f aca="false">O48-P48</f>
        <v>0</v>
      </c>
      <c r="R48" s="40" t="n">
        <f aca="false">MIN(H48,I48)-MIN(H48-M48,I48)</f>
        <v>0</v>
      </c>
      <c r="S48" s="40" t="n">
        <f aca="false">MIN(H48,J48)-MIN(H48-M48,J48)</f>
        <v>0</v>
      </c>
      <c r="T48" s="40" t="n">
        <f aca="false">R48*(Parameter!$C$10+Parameter!$C$11)+S48*((Parameter!$C$12+Parameter!$C$13)/2+Parameter!$C$58)</f>
        <v>0</v>
      </c>
      <c r="U48" s="40" t="n">
        <f aca="false">R48*(Parameter!$C$10+Parameter!$C$11)+S48*((Parameter!$C$12+Parameter!$C$13)/2+Parameter!$C$15)</f>
        <v>0</v>
      </c>
      <c r="V48" s="40" t="n">
        <f aca="false">MIN(H48,I48)*Parameter!$C$10+MIN(H48,J48)*(0.96*(Parameter!$C$12+Parameter!$C$13)/2+Parameter!$C$58)</f>
        <v>0</v>
      </c>
      <c r="W48" s="40" t="n">
        <f aca="false">MIN(H48-M48,I48)*Parameter!$C$10+MIN(H48-M48,J48)*(0.96*(Parameter!$C$12+Parameter!$C$13)/2+Parameter!$C$58)</f>
        <v>0</v>
      </c>
      <c r="X48" s="40" t="n">
        <f aca="false">MAX(0,H48-Parameter!$C$32*F48-Parameter!$C$33-V48)</f>
        <v>0</v>
      </c>
      <c r="Y48" s="40" t="n">
        <f aca="false">MAX(0,H48-L48-Parameter!$C$32*F48-Parameter!$C$33-W48)</f>
        <v>0</v>
      </c>
      <c r="Z48" s="40" t="n">
        <f aca="false">MAX(0,(X48+IF(Eingaben!$C$14=3,Eingaben!$C$15,0))/Parameter!$C$57/F48)</f>
        <v>0</v>
      </c>
      <c r="AA48" s="40" t="n">
        <f aca="false">Parameter!$C$57*F48*(IF(Z48&lt;=Parameter!$C$18,0,IF(Z48&lt;=Parameter!$C$19,(Parameter!$C$22*(Z48-Parameter!$C$18)/10000+Parameter!$C$23)*(Z48-Parameter!$C$18)/10000,IF(Z48&lt;=Parameter!$C$20,(Parameter!$C$24*(Z48-Parameter!$C$19)/10000+Parameter!$C$25)*(Z48-Parameter!$C$19)/10000+Parameter!$C$26,IF(Z48&lt;=Parameter!$C$21,0.42*Z48-Parameter!$C$27,0.45*Z48-Parameter!$C$28)))))</f>
        <v>0</v>
      </c>
      <c r="AB48" s="40" t="n">
        <f aca="false">AA48+IF(AA48&lt;=(Parameter!$C$30*Parameter!$C$57*F48),0,MIN(Parameter!$C$29*AA48,Parameter!$C$31*(AA48-(Parameter!$C$30*Parameter!$C$57*F48))))+Eingaben!$C$16*AA48</f>
        <v>0</v>
      </c>
      <c r="AC48" s="40" t="n">
        <f aca="false">MAX(0,(Y48+IF(Eingaben!$C$14=3,Eingaben!$C$15,0))/Parameter!$C$57/F48)</f>
        <v>0</v>
      </c>
      <c r="AD48" s="40" t="n">
        <f aca="false">Parameter!$C$57*F48*(IF(AC48&lt;=Parameter!$C$18,0,IF(AC48&lt;=Parameter!$C$19,(Parameter!$C$22*(AC48-Parameter!$C$18)/10000+Parameter!$C$23)*(AC48-Parameter!$C$18)/10000,IF(AC48&lt;=Parameter!$C$20,(Parameter!$C$24*(AC48-Parameter!$C$19)/10000+Parameter!$C$25)*(AC48-Parameter!$C$19)/10000+Parameter!$C$26,IF(AC48&lt;=Parameter!$C$21,0.42*AC48-Parameter!$C$27,0.45*AC48-Parameter!$C$28)))))</f>
        <v>0</v>
      </c>
      <c r="AE48" s="40" t="n">
        <f aca="false">AD48+IF(AD48&lt;=(Parameter!$C$30*Parameter!$C$57*F48),0,MIN(Parameter!$C$29*AD48,Parameter!$C$31*(AD48-(Parameter!$C$30*Parameter!$C$57*F48))))+Eingaben!$C$16*AD48</f>
        <v>0</v>
      </c>
      <c r="AF48" s="40" t="n">
        <f aca="false">AB48-AE48</f>
        <v>0</v>
      </c>
      <c r="AG48" s="40" t="n">
        <f aca="false">MAX(0,K48-T48-AF48)</f>
        <v>0</v>
      </c>
      <c r="AH48" s="40" t="n">
        <f aca="false">MIN(AG48,Parameter!$C$49)</f>
        <v>0</v>
      </c>
      <c r="AI48" s="40" t="n">
        <f aca="false">Parameter!$C$44*MIN(AH48,Parameter!$C$45)+Parameter!$C$46*MAX(0,MIN(AH48,Parameter!$C$47)-Parameter!$C$45)</f>
        <v>0</v>
      </c>
      <c r="AJ48" s="40" t="n">
        <f aca="false">MIN(AH48,Parameter!$C$48)*Eingaben!$C$18*IF(40&lt;Eingaben!$C$19,1,0)</f>
        <v>0</v>
      </c>
      <c r="AK48" s="40" t="n">
        <f aca="false">MIN(AI48+AJ48,MAX(0,Parameter!$C$49-AH48))</f>
        <v>0</v>
      </c>
      <c r="AL48" s="40" t="n">
        <f aca="false">MIN(MIN(AH48,Parameter!$C$47)+AK48,Parameter!$C$50)</f>
        <v>0</v>
      </c>
      <c r="AM48" s="40" t="n">
        <f aca="false">MAX(0,X48-AL48)</f>
        <v>0</v>
      </c>
      <c r="AN48" s="40" t="n">
        <f aca="false">MAX(0,(AM48+IF(Eingaben!$C$14=3,Eingaben!$C$15,0))/Parameter!$C$57/F48)</f>
        <v>0</v>
      </c>
      <c r="AO48" s="40" t="n">
        <f aca="false">Parameter!$C$57*F48*(IF(AN48&lt;=Parameter!$C$18,0,IF(AN48&lt;=Parameter!$C$19,(Parameter!$C$22*(AN48-Parameter!$C$18)/10000+Parameter!$C$23)*(AN48-Parameter!$C$18)/10000,IF(AN48&lt;=Parameter!$C$20,(Parameter!$C$24*(AN48-Parameter!$C$19)/10000+Parameter!$C$25)*(AN48-Parameter!$C$19)/10000+Parameter!$C$26,IF(AN48&lt;=Parameter!$C$21,0.42*AN48-Parameter!$C$27,0.45*AN48-Parameter!$C$28)))))</f>
        <v>0</v>
      </c>
      <c r="AP48" s="40" t="n">
        <f aca="false">AO48+IF(AO48&lt;=(Parameter!$C$30*Parameter!$C$57*F48),0,MIN(Parameter!$C$29*AO48,Parameter!$C$31*(AO48-(Parameter!$C$30*Parameter!$C$57*F48))))+Eingaben!$C$16*AO48</f>
        <v>0</v>
      </c>
      <c r="AQ48" s="40" t="n">
        <f aca="false">AB48-AP48</f>
        <v>0</v>
      </c>
      <c r="AR48" s="40" t="n">
        <f aca="false">MAX(0,AQ48-AK48)</f>
        <v>0</v>
      </c>
      <c r="AS48" s="40" t="n">
        <f aca="false">MIN(AH48,Parameter!$C$47)+AK48</f>
        <v>0</v>
      </c>
      <c r="AT48" s="40" t="n">
        <f aca="false">MAX(0,AH48-Parameter!$C$47)+AR47</f>
        <v>0</v>
      </c>
      <c r="AU48" s="40" t="n">
        <f aca="false">MAX(0,AG48-Parameter!$C$49)</f>
        <v>0</v>
      </c>
      <c r="AV48" s="40" t="n">
        <f aca="false">AG48</f>
        <v>0</v>
      </c>
      <c r="AW48" s="40" t="n">
        <f aca="false">IF(D48=0,AW47,AW47*(1+Parameter!$C$60)+P48*(1+Parameter!$C$60)^0.5)</f>
        <v>327329.147588884</v>
      </c>
      <c r="AX48" s="40" t="n">
        <f aca="false">IF(D48=0,AX47,AX47*(1+Parameter!$C$60)+Q48*(1+Parameter!$C$60)^0.5)</f>
        <v>0</v>
      </c>
      <c r="AY48" s="40" t="n">
        <f aca="false">IF(D48=0,AY47,AY47*(1+Parameter!$C$61)+AS48*(1+Parameter!$C$61)^0.5)</f>
        <v>155636.544221689</v>
      </c>
      <c r="AZ48" s="40" t="n">
        <f aca="false">IF(D48=0,AZ47,AZ47*(1+Parameter!$C$61)+AT48*(1+Parameter!$C$61)^0.5)</f>
        <v>62766.2683996872</v>
      </c>
      <c r="BA48" s="40" t="n">
        <f aca="false">IF(D48=0,BA47,BA47*(1+Parameter!$C$62)+AU48*(1+Parameter!$C$62)^0.5-BD48)</f>
        <v>0</v>
      </c>
      <c r="BB48" s="40" t="n">
        <f aca="false">IF(D48=0,BB47,BB47+AU48+BC48)</f>
        <v>0</v>
      </c>
      <c r="BC48" s="40" t="n">
        <f aca="false">MAX(0,MIN(BA47*(1+Parameter!$C$62)+AU48*(1+Parameter!$C$62)^0.5-BA47-AU48,BA47*Parameter!$C$39*Parameter!$C$40))</f>
        <v>0</v>
      </c>
      <c r="BD48" s="40" t="n">
        <f aca="false">MAX(0,BC48*(1-Parameter!$C$37)-Parameter!$C$67)*Parameter!$C$36</f>
        <v>0</v>
      </c>
      <c r="BE48" s="40" t="n">
        <f aca="false">IF(D48=0,BE47,BE47*(1+Parameter!$C$62)+AV48*(1+Parameter!$C$62)^0.5-BH48)</f>
        <v>167462.743358363</v>
      </c>
      <c r="BF48" s="40" t="n">
        <f aca="false">IF(D48=0,BF47,BF47+AV48+BG48)</f>
        <v>95281.8595308716</v>
      </c>
      <c r="BG48" s="40" t="n">
        <f aca="false">MAX(0,MIN(BE47*(1+Parameter!$C$62)+AV48*(1+Parameter!$C$62)^0.5-BE47-AV48,BE47*Parameter!$C$39*Parameter!$C$40))</f>
        <v>3751.16545122732</v>
      </c>
      <c r="BH48" s="40" t="n">
        <f aca="false">MAX(0,BG48*(1-Parameter!$C$37)-Parameter!$C$67)*Parameter!$C$36</f>
        <v>428.808921432844</v>
      </c>
      <c r="BI48" s="38" t="n">
        <f aca="false">R48/(Parameter!$C$8*E48)</f>
        <v>0</v>
      </c>
      <c r="BJ48" s="38" t="n">
        <f aca="false">BJ47+BI48</f>
        <v>1.59402433389804</v>
      </c>
    </row>
    <row r="49" customFormat="false" ht="15" hidden="false" customHeight="false" outlineLevel="0" collapsed="false">
      <c r="A49" s="32" t="n">
        <f aca="false">2026+41</f>
        <v>2067</v>
      </c>
      <c r="B49" s="32" t="n">
        <f aca="false">Eingaben!$C$5+41</f>
        <v>81</v>
      </c>
      <c r="C49" s="32" t="n">
        <f aca="false">IF(AND(B49&lt;Eingaben!$C$8,B49&lt;Eingaben!$C$6),1,0)</f>
        <v>0</v>
      </c>
      <c r="D49" s="32" t="n">
        <f aca="false">IF(B49&lt;Eingaben!$C$6,1,0)</f>
        <v>0</v>
      </c>
      <c r="E49" s="41" t="n">
        <f aca="false">(1+Eingaben!$C$13)^41</f>
        <v>2.75219043434971</v>
      </c>
      <c r="F49" s="41" t="n">
        <f aca="false">(1+Eingaben!$C$17)^41</f>
        <v>2.25220045688715</v>
      </c>
      <c r="G49" s="42" t="n">
        <f aca="false">IF(B49&gt;=Eingaben!$C$9,Eingaben!$C$10,1)</f>
        <v>0.6</v>
      </c>
      <c r="H49" s="43" t="n">
        <f aca="false">Eingaben!$C$12*E49*G49*C49</f>
        <v>0</v>
      </c>
      <c r="I49" s="43" t="n">
        <f aca="false">Parameter!$C$4*E49</f>
        <v>279072.110043061</v>
      </c>
      <c r="J49" s="43" t="n">
        <f aca="false">Parameter!$C$5*E49</f>
        <v>191965.282795892</v>
      </c>
      <c r="K49" s="43" t="n">
        <f aca="false">MIN(H49,12*(IF(Eingaben!$C$22=2,Umrechnung!$C$54,Eingaben!$C$23))*IF(Eingaben!$C$25=1,E49,1))*C49</f>
        <v>0</v>
      </c>
      <c r="L49" s="43" t="n">
        <f aca="false">MIN(K49,MAX(0,Parameter!$C$42*I49-N49))</f>
        <v>0</v>
      </c>
      <c r="M49" s="43" t="n">
        <f aca="false">MIN(K49,Parameter!$C$43*I49)</f>
        <v>0</v>
      </c>
      <c r="N49" s="43" t="n">
        <f aca="false">IF(Eingaben!$C$27=2,MIN(Eingaben!$C$26*K49,U49),Eingaben!$C$26*IF(Eingaben!$C$27=1,M49,K49))</f>
        <v>0</v>
      </c>
      <c r="O49" s="43" t="n">
        <f aca="false">K49+N49</f>
        <v>0</v>
      </c>
      <c r="P49" s="43" t="n">
        <f aca="false">MIN(O49,Parameter!$C$42*I49)</f>
        <v>0</v>
      </c>
      <c r="Q49" s="43" t="n">
        <f aca="false">O49-P49</f>
        <v>0</v>
      </c>
      <c r="R49" s="43" t="n">
        <f aca="false">MIN(H49,I49)-MIN(H49-M49,I49)</f>
        <v>0</v>
      </c>
      <c r="S49" s="43" t="n">
        <f aca="false">MIN(H49,J49)-MIN(H49-M49,J49)</f>
        <v>0</v>
      </c>
      <c r="T49" s="43" t="n">
        <f aca="false">R49*(Parameter!$C$10+Parameter!$C$11)+S49*((Parameter!$C$12+Parameter!$C$13)/2+Parameter!$C$58)</f>
        <v>0</v>
      </c>
      <c r="U49" s="43" t="n">
        <f aca="false">R49*(Parameter!$C$10+Parameter!$C$11)+S49*((Parameter!$C$12+Parameter!$C$13)/2+Parameter!$C$15)</f>
        <v>0</v>
      </c>
      <c r="V49" s="43" t="n">
        <f aca="false">MIN(H49,I49)*Parameter!$C$10+MIN(H49,J49)*(0.96*(Parameter!$C$12+Parameter!$C$13)/2+Parameter!$C$58)</f>
        <v>0</v>
      </c>
      <c r="W49" s="43" t="n">
        <f aca="false">MIN(H49-M49,I49)*Parameter!$C$10+MIN(H49-M49,J49)*(0.96*(Parameter!$C$12+Parameter!$C$13)/2+Parameter!$C$58)</f>
        <v>0</v>
      </c>
      <c r="X49" s="43" t="n">
        <f aca="false">MAX(0,H49-Parameter!$C$32*F49-Parameter!$C$33-V49)</f>
        <v>0</v>
      </c>
      <c r="Y49" s="43" t="n">
        <f aca="false">MAX(0,H49-L49-Parameter!$C$32*F49-Parameter!$C$33-W49)</f>
        <v>0</v>
      </c>
      <c r="Z49" s="43" t="n">
        <f aca="false">MAX(0,(X49+IF(Eingaben!$C$14=3,Eingaben!$C$15,0))/Parameter!$C$57/F49)</f>
        <v>0</v>
      </c>
      <c r="AA49" s="43" t="n">
        <f aca="false">Parameter!$C$57*F49*(IF(Z49&lt;=Parameter!$C$18,0,IF(Z49&lt;=Parameter!$C$19,(Parameter!$C$22*(Z49-Parameter!$C$18)/10000+Parameter!$C$23)*(Z49-Parameter!$C$18)/10000,IF(Z49&lt;=Parameter!$C$20,(Parameter!$C$24*(Z49-Parameter!$C$19)/10000+Parameter!$C$25)*(Z49-Parameter!$C$19)/10000+Parameter!$C$26,IF(Z49&lt;=Parameter!$C$21,0.42*Z49-Parameter!$C$27,0.45*Z49-Parameter!$C$28)))))</f>
        <v>0</v>
      </c>
      <c r="AB49" s="43" t="n">
        <f aca="false">AA49+IF(AA49&lt;=(Parameter!$C$30*Parameter!$C$57*F49),0,MIN(Parameter!$C$29*AA49,Parameter!$C$31*(AA49-(Parameter!$C$30*Parameter!$C$57*F49))))+Eingaben!$C$16*AA49</f>
        <v>0</v>
      </c>
      <c r="AC49" s="43" t="n">
        <f aca="false">MAX(0,(Y49+IF(Eingaben!$C$14=3,Eingaben!$C$15,0))/Parameter!$C$57/F49)</f>
        <v>0</v>
      </c>
      <c r="AD49" s="43" t="n">
        <f aca="false">Parameter!$C$57*F49*(IF(AC49&lt;=Parameter!$C$18,0,IF(AC49&lt;=Parameter!$C$19,(Parameter!$C$22*(AC49-Parameter!$C$18)/10000+Parameter!$C$23)*(AC49-Parameter!$C$18)/10000,IF(AC49&lt;=Parameter!$C$20,(Parameter!$C$24*(AC49-Parameter!$C$19)/10000+Parameter!$C$25)*(AC49-Parameter!$C$19)/10000+Parameter!$C$26,IF(AC49&lt;=Parameter!$C$21,0.42*AC49-Parameter!$C$27,0.45*AC49-Parameter!$C$28)))))</f>
        <v>0</v>
      </c>
      <c r="AE49" s="43" t="n">
        <f aca="false">AD49+IF(AD49&lt;=(Parameter!$C$30*Parameter!$C$57*F49),0,MIN(Parameter!$C$29*AD49,Parameter!$C$31*(AD49-(Parameter!$C$30*Parameter!$C$57*F49))))+Eingaben!$C$16*AD49</f>
        <v>0</v>
      </c>
      <c r="AF49" s="43" t="n">
        <f aca="false">AB49-AE49</f>
        <v>0</v>
      </c>
      <c r="AG49" s="43" t="n">
        <f aca="false">MAX(0,K49-T49-AF49)</f>
        <v>0</v>
      </c>
      <c r="AH49" s="43" t="n">
        <f aca="false">MIN(AG49,Parameter!$C$49)</f>
        <v>0</v>
      </c>
      <c r="AI49" s="43" t="n">
        <f aca="false">Parameter!$C$44*MIN(AH49,Parameter!$C$45)+Parameter!$C$46*MAX(0,MIN(AH49,Parameter!$C$47)-Parameter!$C$45)</f>
        <v>0</v>
      </c>
      <c r="AJ49" s="43" t="n">
        <f aca="false">MIN(AH49,Parameter!$C$48)*Eingaben!$C$18*IF(41&lt;Eingaben!$C$19,1,0)</f>
        <v>0</v>
      </c>
      <c r="AK49" s="43" t="n">
        <f aca="false">MIN(AI49+AJ49,MAX(0,Parameter!$C$49-AH49))</f>
        <v>0</v>
      </c>
      <c r="AL49" s="43" t="n">
        <f aca="false">MIN(MIN(AH49,Parameter!$C$47)+AK49,Parameter!$C$50)</f>
        <v>0</v>
      </c>
      <c r="AM49" s="43" t="n">
        <f aca="false">MAX(0,X49-AL49)</f>
        <v>0</v>
      </c>
      <c r="AN49" s="43" t="n">
        <f aca="false">MAX(0,(AM49+IF(Eingaben!$C$14=3,Eingaben!$C$15,0))/Parameter!$C$57/F49)</f>
        <v>0</v>
      </c>
      <c r="AO49" s="43" t="n">
        <f aca="false">Parameter!$C$57*F49*(IF(AN49&lt;=Parameter!$C$18,0,IF(AN49&lt;=Parameter!$C$19,(Parameter!$C$22*(AN49-Parameter!$C$18)/10000+Parameter!$C$23)*(AN49-Parameter!$C$18)/10000,IF(AN49&lt;=Parameter!$C$20,(Parameter!$C$24*(AN49-Parameter!$C$19)/10000+Parameter!$C$25)*(AN49-Parameter!$C$19)/10000+Parameter!$C$26,IF(AN49&lt;=Parameter!$C$21,0.42*AN49-Parameter!$C$27,0.45*AN49-Parameter!$C$28)))))</f>
        <v>0</v>
      </c>
      <c r="AP49" s="43" t="n">
        <f aca="false">AO49+IF(AO49&lt;=(Parameter!$C$30*Parameter!$C$57*F49),0,MIN(Parameter!$C$29*AO49,Parameter!$C$31*(AO49-(Parameter!$C$30*Parameter!$C$57*F49))))+Eingaben!$C$16*AO49</f>
        <v>0</v>
      </c>
      <c r="AQ49" s="43" t="n">
        <f aca="false">AB49-AP49</f>
        <v>0</v>
      </c>
      <c r="AR49" s="43" t="n">
        <f aca="false">MAX(0,AQ49-AK49)</f>
        <v>0</v>
      </c>
      <c r="AS49" s="43" t="n">
        <f aca="false">MIN(AH49,Parameter!$C$47)+AK49</f>
        <v>0</v>
      </c>
      <c r="AT49" s="43" t="n">
        <f aca="false">MAX(0,AH49-Parameter!$C$47)+AR48</f>
        <v>0</v>
      </c>
      <c r="AU49" s="43" t="n">
        <f aca="false">MAX(0,AG49-Parameter!$C$49)</f>
        <v>0</v>
      </c>
      <c r="AV49" s="43" t="n">
        <f aca="false">AG49</f>
        <v>0</v>
      </c>
      <c r="AW49" s="43" t="n">
        <f aca="false">IF(D49=0,AW48,AW48*(1+Parameter!$C$60)+P49*(1+Parameter!$C$60)^0.5)</f>
        <v>327329.147588884</v>
      </c>
      <c r="AX49" s="43" t="n">
        <f aca="false">IF(D49=0,AX48,AX48*(1+Parameter!$C$60)+Q49*(1+Parameter!$C$60)^0.5)</f>
        <v>0</v>
      </c>
      <c r="AY49" s="43" t="n">
        <f aca="false">IF(D49=0,AY48,AY48*(1+Parameter!$C$61)+AS49*(1+Parameter!$C$61)^0.5)</f>
        <v>155636.544221689</v>
      </c>
      <c r="AZ49" s="43" t="n">
        <f aca="false">IF(D49=0,AZ48,AZ48*(1+Parameter!$C$61)+AT49*(1+Parameter!$C$61)^0.5)</f>
        <v>62766.2683996872</v>
      </c>
      <c r="BA49" s="43" t="n">
        <f aca="false">IF(D49=0,BA48,BA48*(1+Parameter!$C$62)+AU49*(1+Parameter!$C$62)^0.5-BD49)</f>
        <v>0</v>
      </c>
      <c r="BB49" s="43" t="n">
        <f aca="false">IF(D49=0,BB48,BB48+AU49+BC49)</f>
        <v>0</v>
      </c>
      <c r="BC49" s="43" t="n">
        <f aca="false">MAX(0,MIN(BA48*(1+Parameter!$C$62)+AU49*(1+Parameter!$C$62)^0.5-BA48-AU49,BA48*Parameter!$C$39*Parameter!$C$40))</f>
        <v>0</v>
      </c>
      <c r="BD49" s="43" t="n">
        <f aca="false">MAX(0,BC49*(1-Parameter!$C$37)-Parameter!$C$67)*Parameter!$C$36</f>
        <v>0</v>
      </c>
      <c r="BE49" s="43" t="n">
        <f aca="false">IF(D49=0,BE48,BE48*(1+Parameter!$C$62)+AV49*(1+Parameter!$C$62)^0.5-BH49)</f>
        <v>167462.743358363</v>
      </c>
      <c r="BF49" s="43" t="n">
        <f aca="false">IF(D49=0,BF48,BF48+AV49+BG49)</f>
        <v>95281.8595308716</v>
      </c>
      <c r="BG49" s="43" t="n">
        <f aca="false">MAX(0,MIN(BE48*(1+Parameter!$C$62)+AV49*(1+Parameter!$C$62)^0.5-BE48-AV49,BE48*Parameter!$C$39*Parameter!$C$40))</f>
        <v>3751.16545122732</v>
      </c>
      <c r="BH49" s="43" t="n">
        <f aca="false">MAX(0,BG49*(1-Parameter!$C$37)-Parameter!$C$67)*Parameter!$C$36</f>
        <v>428.808921432844</v>
      </c>
      <c r="BI49" s="41" t="n">
        <f aca="false">R49/(Parameter!$C$8*E49)</f>
        <v>0</v>
      </c>
      <c r="BJ49" s="41" t="n">
        <f aca="false">BJ48+BI49</f>
        <v>1.59402433389804</v>
      </c>
    </row>
    <row r="50" customFormat="false" ht="15" hidden="false" customHeight="false" outlineLevel="0" collapsed="false">
      <c r="A50" s="30" t="n">
        <f aca="false">2026+42</f>
        <v>2068</v>
      </c>
      <c r="B50" s="30" t="n">
        <f aca="false">Eingaben!$C$5+42</f>
        <v>82</v>
      </c>
      <c r="C50" s="30" t="n">
        <f aca="false">IF(AND(B50&lt;Eingaben!$C$8,B50&lt;Eingaben!$C$6),1,0)</f>
        <v>0</v>
      </c>
      <c r="D50" s="30" t="n">
        <f aca="false">IF(B50&lt;Eingaben!$C$6,1,0)</f>
        <v>0</v>
      </c>
      <c r="E50" s="38" t="n">
        <f aca="false">(1+Eingaben!$C$13)^42</f>
        <v>2.82099519520845</v>
      </c>
      <c r="F50" s="38" t="n">
        <f aca="false">(1+Eingaben!$C$17)^42</f>
        <v>2.29724446602489</v>
      </c>
      <c r="G50" s="39" t="n">
        <f aca="false">IF(B50&gt;=Eingaben!$C$9,Eingaben!$C$10,1)</f>
        <v>0.6</v>
      </c>
      <c r="H50" s="40" t="n">
        <f aca="false">Eingaben!$C$12*E50*G50*C50</f>
        <v>0</v>
      </c>
      <c r="I50" s="40" t="n">
        <f aca="false">Parameter!$C$4*E50</f>
        <v>286048.912794137</v>
      </c>
      <c r="J50" s="40" t="n">
        <f aca="false">Parameter!$C$5*E50</f>
        <v>196764.41486579</v>
      </c>
      <c r="K50" s="40" t="n">
        <f aca="false">MIN(H50,12*(IF(Eingaben!$C$22=2,Umrechnung!$C$54,Eingaben!$C$23))*IF(Eingaben!$C$25=1,E50,1))*C50</f>
        <v>0</v>
      </c>
      <c r="L50" s="40" t="n">
        <f aca="false">MIN(K50,MAX(0,Parameter!$C$42*I50-N50))</f>
        <v>0</v>
      </c>
      <c r="M50" s="40" t="n">
        <f aca="false">MIN(K50,Parameter!$C$43*I50)</f>
        <v>0</v>
      </c>
      <c r="N50" s="40" t="n">
        <f aca="false">IF(Eingaben!$C$27=2,MIN(Eingaben!$C$26*K50,U50),Eingaben!$C$26*IF(Eingaben!$C$27=1,M50,K50))</f>
        <v>0</v>
      </c>
      <c r="O50" s="40" t="n">
        <f aca="false">K50+N50</f>
        <v>0</v>
      </c>
      <c r="P50" s="40" t="n">
        <f aca="false">MIN(O50,Parameter!$C$42*I50)</f>
        <v>0</v>
      </c>
      <c r="Q50" s="40" t="n">
        <f aca="false">O50-P50</f>
        <v>0</v>
      </c>
      <c r="R50" s="40" t="n">
        <f aca="false">MIN(H50,I50)-MIN(H50-M50,I50)</f>
        <v>0</v>
      </c>
      <c r="S50" s="40" t="n">
        <f aca="false">MIN(H50,J50)-MIN(H50-M50,J50)</f>
        <v>0</v>
      </c>
      <c r="T50" s="40" t="n">
        <f aca="false">R50*(Parameter!$C$10+Parameter!$C$11)+S50*((Parameter!$C$12+Parameter!$C$13)/2+Parameter!$C$58)</f>
        <v>0</v>
      </c>
      <c r="U50" s="40" t="n">
        <f aca="false">R50*(Parameter!$C$10+Parameter!$C$11)+S50*((Parameter!$C$12+Parameter!$C$13)/2+Parameter!$C$15)</f>
        <v>0</v>
      </c>
      <c r="V50" s="40" t="n">
        <f aca="false">MIN(H50,I50)*Parameter!$C$10+MIN(H50,J50)*(0.96*(Parameter!$C$12+Parameter!$C$13)/2+Parameter!$C$58)</f>
        <v>0</v>
      </c>
      <c r="W50" s="40" t="n">
        <f aca="false">MIN(H50-M50,I50)*Parameter!$C$10+MIN(H50-M50,J50)*(0.96*(Parameter!$C$12+Parameter!$C$13)/2+Parameter!$C$58)</f>
        <v>0</v>
      </c>
      <c r="X50" s="40" t="n">
        <f aca="false">MAX(0,H50-Parameter!$C$32*F50-Parameter!$C$33-V50)</f>
        <v>0</v>
      </c>
      <c r="Y50" s="40" t="n">
        <f aca="false">MAX(0,H50-L50-Parameter!$C$32*F50-Parameter!$C$33-W50)</f>
        <v>0</v>
      </c>
      <c r="Z50" s="40" t="n">
        <f aca="false">MAX(0,(X50+IF(Eingaben!$C$14=3,Eingaben!$C$15,0))/Parameter!$C$57/F50)</f>
        <v>0</v>
      </c>
      <c r="AA50" s="40" t="n">
        <f aca="false">Parameter!$C$57*F50*(IF(Z50&lt;=Parameter!$C$18,0,IF(Z50&lt;=Parameter!$C$19,(Parameter!$C$22*(Z50-Parameter!$C$18)/10000+Parameter!$C$23)*(Z50-Parameter!$C$18)/10000,IF(Z50&lt;=Parameter!$C$20,(Parameter!$C$24*(Z50-Parameter!$C$19)/10000+Parameter!$C$25)*(Z50-Parameter!$C$19)/10000+Parameter!$C$26,IF(Z50&lt;=Parameter!$C$21,0.42*Z50-Parameter!$C$27,0.45*Z50-Parameter!$C$28)))))</f>
        <v>0</v>
      </c>
      <c r="AB50" s="40" t="n">
        <f aca="false">AA50+IF(AA50&lt;=(Parameter!$C$30*Parameter!$C$57*F50),0,MIN(Parameter!$C$29*AA50,Parameter!$C$31*(AA50-(Parameter!$C$30*Parameter!$C$57*F50))))+Eingaben!$C$16*AA50</f>
        <v>0</v>
      </c>
      <c r="AC50" s="40" t="n">
        <f aca="false">MAX(0,(Y50+IF(Eingaben!$C$14=3,Eingaben!$C$15,0))/Parameter!$C$57/F50)</f>
        <v>0</v>
      </c>
      <c r="AD50" s="40" t="n">
        <f aca="false">Parameter!$C$57*F50*(IF(AC50&lt;=Parameter!$C$18,0,IF(AC50&lt;=Parameter!$C$19,(Parameter!$C$22*(AC50-Parameter!$C$18)/10000+Parameter!$C$23)*(AC50-Parameter!$C$18)/10000,IF(AC50&lt;=Parameter!$C$20,(Parameter!$C$24*(AC50-Parameter!$C$19)/10000+Parameter!$C$25)*(AC50-Parameter!$C$19)/10000+Parameter!$C$26,IF(AC50&lt;=Parameter!$C$21,0.42*AC50-Parameter!$C$27,0.45*AC50-Parameter!$C$28)))))</f>
        <v>0</v>
      </c>
      <c r="AE50" s="40" t="n">
        <f aca="false">AD50+IF(AD50&lt;=(Parameter!$C$30*Parameter!$C$57*F50),0,MIN(Parameter!$C$29*AD50,Parameter!$C$31*(AD50-(Parameter!$C$30*Parameter!$C$57*F50))))+Eingaben!$C$16*AD50</f>
        <v>0</v>
      </c>
      <c r="AF50" s="40" t="n">
        <f aca="false">AB50-AE50</f>
        <v>0</v>
      </c>
      <c r="AG50" s="40" t="n">
        <f aca="false">MAX(0,K50-T50-AF50)</f>
        <v>0</v>
      </c>
      <c r="AH50" s="40" t="n">
        <f aca="false">MIN(AG50,Parameter!$C$49)</f>
        <v>0</v>
      </c>
      <c r="AI50" s="40" t="n">
        <f aca="false">Parameter!$C$44*MIN(AH50,Parameter!$C$45)+Parameter!$C$46*MAX(0,MIN(AH50,Parameter!$C$47)-Parameter!$C$45)</f>
        <v>0</v>
      </c>
      <c r="AJ50" s="40" t="n">
        <f aca="false">MIN(AH50,Parameter!$C$48)*Eingaben!$C$18*IF(42&lt;Eingaben!$C$19,1,0)</f>
        <v>0</v>
      </c>
      <c r="AK50" s="40" t="n">
        <f aca="false">MIN(AI50+AJ50,MAX(0,Parameter!$C$49-AH50))</f>
        <v>0</v>
      </c>
      <c r="AL50" s="40" t="n">
        <f aca="false">MIN(MIN(AH50,Parameter!$C$47)+AK50,Parameter!$C$50)</f>
        <v>0</v>
      </c>
      <c r="AM50" s="40" t="n">
        <f aca="false">MAX(0,X50-AL50)</f>
        <v>0</v>
      </c>
      <c r="AN50" s="40" t="n">
        <f aca="false">MAX(0,(AM50+IF(Eingaben!$C$14=3,Eingaben!$C$15,0))/Parameter!$C$57/F50)</f>
        <v>0</v>
      </c>
      <c r="AO50" s="40" t="n">
        <f aca="false">Parameter!$C$57*F50*(IF(AN50&lt;=Parameter!$C$18,0,IF(AN50&lt;=Parameter!$C$19,(Parameter!$C$22*(AN50-Parameter!$C$18)/10000+Parameter!$C$23)*(AN50-Parameter!$C$18)/10000,IF(AN50&lt;=Parameter!$C$20,(Parameter!$C$24*(AN50-Parameter!$C$19)/10000+Parameter!$C$25)*(AN50-Parameter!$C$19)/10000+Parameter!$C$26,IF(AN50&lt;=Parameter!$C$21,0.42*AN50-Parameter!$C$27,0.45*AN50-Parameter!$C$28)))))</f>
        <v>0</v>
      </c>
      <c r="AP50" s="40" t="n">
        <f aca="false">AO50+IF(AO50&lt;=(Parameter!$C$30*Parameter!$C$57*F50),0,MIN(Parameter!$C$29*AO50,Parameter!$C$31*(AO50-(Parameter!$C$30*Parameter!$C$57*F50))))+Eingaben!$C$16*AO50</f>
        <v>0</v>
      </c>
      <c r="AQ50" s="40" t="n">
        <f aca="false">AB50-AP50</f>
        <v>0</v>
      </c>
      <c r="AR50" s="40" t="n">
        <f aca="false">MAX(0,AQ50-AK50)</f>
        <v>0</v>
      </c>
      <c r="AS50" s="40" t="n">
        <f aca="false">MIN(AH50,Parameter!$C$47)+AK50</f>
        <v>0</v>
      </c>
      <c r="AT50" s="40" t="n">
        <f aca="false">MAX(0,AH50-Parameter!$C$47)+AR49</f>
        <v>0</v>
      </c>
      <c r="AU50" s="40" t="n">
        <f aca="false">MAX(0,AG50-Parameter!$C$49)</f>
        <v>0</v>
      </c>
      <c r="AV50" s="40" t="n">
        <f aca="false">AG50</f>
        <v>0</v>
      </c>
      <c r="AW50" s="40" t="n">
        <f aca="false">IF(D50=0,AW49,AW49*(1+Parameter!$C$60)+P50*(1+Parameter!$C$60)^0.5)</f>
        <v>327329.147588884</v>
      </c>
      <c r="AX50" s="40" t="n">
        <f aca="false">IF(D50=0,AX49,AX49*(1+Parameter!$C$60)+Q50*(1+Parameter!$C$60)^0.5)</f>
        <v>0</v>
      </c>
      <c r="AY50" s="40" t="n">
        <f aca="false">IF(D50=0,AY49,AY49*(1+Parameter!$C$61)+AS50*(1+Parameter!$C$61)^0.5)</f>
        <v>155636.544221689</v>
      </c>
      <c r="AZ50" s="40" t="n">
        <f aca="false">IF(D50=0,AZ49,AZ49*(1+Parameter!$C$61)+AT50*(1+Parameter!$C$61)^0.5)</f>
        <v>62766.2683996872</v>
      </c>
      <c r="BA50" s="40" t="n">
        <f aca="false">IF(D50=0,BA49,BA49*(1+Parameter!$C$62)+AU50*(1+Parameter!$C$62)^0.5-BD50)</f>
        <v>0</v>
      </c>
      <c r="BB50" s="40" t="n">
        <f aca="false">IF(D50=0,BB49,BB49+AU50+BC50)</f>
        <v>0</v>
      </c>
      <c r="BC50" s="40" t="n">
        <f aca="false">MAX(0,MIN(BA49*(1+Parameter!$C$62)+AU50*(1+Parameter!$C$62)^0.5-BA49-AU50,BA49*Parameter!$C$39*Parameter!$C$40))</f>
        <v>0</v>
      </c>
      <c r="BD50" s="40" t="n">
        <f aca="false">MAX(0,BC50*(1-Parameter!$C$37)-Parameter!$C$67)*Parameter!$C$36</f>
        <v>0</v>
      </c>
      <c r="BE50" s="40" t="n">
        <f aca="false">IF(D50=0,BE49,BE49*(1+Parameter!$C$62)+AV50*(1+Parameter!$C$62)^0.5-BH50)</f>
        <v>167462.743358363</v>
      </c>
      <c r="BF50" s="40" t="n">
        <f aca="false">IF(D50=0,BF49,BF49+AV50+BG50)</f>
        <v>95281.8595308716</v>
      </c>
      <c r="BG50" s="40" t="n">
        <f aca="false">MAX(0,MIN(BE49*(1+Parameter!$C$62)+AV50*(1+Parameter!$C$62)^0.5-BE49-AV50,BE49*Parameter!$C$39*Parameter!$C$40))</f>
        <v>3751.16545122732</v>
      </c>
      <c r="BH50" s="40" t="n">
        <f aca="false">MAX(0,BG50*(1-Parameter!$C$37)-Parameter!$C$67)*Parameter!$C$36</f>
        <v>428.808921432844</v>
      </c>
      <c r="BI50" s="38" t="n">
        <f aca="false">R50/(Parameter!$C$8*E50)</f>
        <v>0</v>
      </c>
      <c r="BJ50" s="38" t="n">
        <f aca="false">BJ49+BI50</f>
        <v>1.59402433389804</v>
      </c>
    </row>
    <row r="51" customFormat="false" ht="15" hidden="false" customHeight="false" outlineLevel="0" collapsed="false">
      <c r="A51" s="32" t="n">
        <f aca="false">2026+43</f>
        <v>2069</v>
      </c>
      <c r="B51" s="32" t="n">
        <f aca="false">Eingaben!$C$5+43</f>
        <v>83</v>
      </c>
      <c r="C51" s="32" t="n">
        <f aca="false">IF(AND(B51&lt;Eingaben!$C$8,B51&lt;Eingaben!$C$6),1,0)</f>
        <v>0</v>
      </c>
      <c r="D51" s="32" t="n">
        <f aca="false">IF(B51&lt;Eingaben!$C$6,1,0)</f>
        <v>0</v>
      </c>
      <c r="E51" s="41" t="n">
        <f aca="false">(1+Eingaben!$C$13)^43</f>
        <v>2.89152007508867</v>
      </c>
      <c r="F51" s="41" t="n">
        <f aca="false">(1+Eingaben!$C$17)^43</f>
        <v>2.34318935534539</v>
      </c>
      <c r="G51" s="42" t="n">
        <f aca="false">IF(B51&gt;=Eingaben!$C$9,Eingaben!$C$10,1)</f>
        <v>0.6</v>
      </c>
      <c r="H51" s="43" t="n">
        <f aca="false">Eingaben!$C$12*E51*G51*C51</f>
        <v>0</v>
      </c>
      <c r="I51" s="43" t="n">
        <f aca="false">Parameter!$C$4*E51</f>
        <v>293200.135613991</v>
      </c>
      <c r="J51" s="43" t="n">
        <f aca="false">Parameter!$C$5*E51</f>
        <v>201683.525237434</v>
      </c>
      <c r="K51" s="43" t="n">
        <f aca="false">MIN(H51,12*(IF(Eingaben!$C$22=2,Umrechnung!$C$54,Eingaben!$C$23))*IF(Eingaben!$C$25=1,E51,1))*C51</f>
        <v>0</v>
      </c>
      <c r="L51" s="43" t="n">
        <f aca="false">MIN(K51,MAX(0,Parameter!$C$42*I51-N51))</f>
        <v>0</v>
      </c>
      <c r="M51" s="43" t="n">
        <f aca="false">MIN(K51,Parameter!$C$43*I51)</f>
        <v>0</v>
      </c>
      <c r="N51" s="43" t="n">
        <f aca="false">IF(Eingaben!$C$27=2,MIN(Eingaben!$C$26*K51,U51),Eingaben!$C$26*IF(Eingaben!$C$27=1,M51,K51))</f>
        <v>0</v>
      </c>
      <c r="O51" s="43" t="n">
        <f aca="false">K51+N51</f>
        <v>0</v>
      </c>
      <c r="P51" s="43" t="n">
        <f aca="false">MIN(O51,Parameter!$C$42*I51)</f>
        <v>0</v>
      </c>
      <c r="Q51" s="43" t="n">
        <f aca="false">O51-P51</f>
        <v>0</v>
      </c>
      <c r="R51" s="43" t="n">
        <f aca="false">MIN(H51,I51)-MIN(H51-M51,I51)</f>
        <v>0</v>
      </c>
      <c r="S51" s="43" t="n">
        <f aca="false">MIN(H51,J51)-MIN(H51-M51,J51)</f>
        <v>0</v>
      </c>
      <c r="T51" s="43" t="n">
        <f aca="false">R51*(Parameter!$C$10+Parameter!$C$11)+S51*((Parameter!$C$12+Parameter!$C$13)/2+Parameter!$C$58)</f>
        <v>0</v>
      </c>
      <c r="U51" s="43" t="n">
        <f aca="false">R51*(Parameter!$C$10+Parameter!$C$11)+S51*((Parameter!$C$12+Parameter!$C$13)/2+Parameter!$C$15)</f>
        <v>0</v>
      </c>
      <c r="V51" s="43" t="n">
        <f aca="false">MIN(H51,I51)*Parameter!$C$10+MIN(H51,J51)*(0.96*(Parameter!$C$12+Parameter!$C$13)/2+Parameter!$C$58)</f>
        <v>0</v>
      </c>
      <c r="W51" s="43" t="n">
        <f aca="false">MIN(H51-M51,I51)*Parameter!$C$10+MIN(H51-M51,J51)*(0.96*(Parameter!$C$12+Parameter!$C$13)/2+Parameter!$C$58)</f>
        <v>0</v>
      </c>
      <c r="X51" s="43" t="n">
        <f aca="false">MAX(0,H51-Parameter!$C$32*F51-Parameter!$C$33-V51)</f>
        <v>0</v>
      </c>
      <c r="Y51" s="43" t="n">
        <f aca="false">MAX(0,H51-L51-Parameter!$C$32*F51-Parameter!$C$33-W51)</f>
        <v>0</v>
      </c>
      <c r="Z51" s="43" t="n">
        <f aca="false">MAX(0,(X51+IF(Eingaben!$C$14=3,Eingaben!$C$15,0))/Parameter!$C$57/F51)</f>
        <v>0</v>
      </c>
      <c r="AA51" s="43" t="n">
        <f aca="false">Parameter!$C$57*F51*(IF(Z51&lt;=Parameter!$C$18,0,IF(Z51&lt;=Parameter!$C$19,(Parameter!$C$22*(Z51-Parameter!$C$18)/10000+Parameter!$C$23)*(Z51-Parameter!$C$18)/10000,IF(Z51&lt;=Parameter!$C$20,(Parameter!$C$24*(Z51-Parameter!$C$19)/10000+Parameter!$C$25)*(Z51-Parameter!$C$19)/10000+Parameter!$C$26,IF(Z51&lt;=Parameter!$C$21,0.42*Z51-Parameter!$C$27,0.45*Z51-Parameter!$C$28)))))</f>
        <v>0</v>
      </c>
      <c r="AB51" s="43" t="n">
        <f aca="false">AA51+IF(AA51&lt;=(Parameter!$C$30*Parameter!$C$57*F51),0,MIN(Parameter!$C$29*AA51,Parameter!$C$31*(AA51-(Parameter!$C$30*Parameter!$C$57*F51))))+Eingaben!$C$16*AA51</f>
        <v>0</v>
      </c>
      <c r="AC51" s="43" t="n">
        <f aca="false">MAX(0,(Y51+IF(Eingaben!$C$14=3,Eingaben!$C$15,0))/Parameter!$C$57/F51)</f>
        <v>0</v>
      </c>
      <c r="AD51" s="43" t="n">
        <f aca="false">Parameter!$C$57*F51*(IF(AC51&lt;=Parameter!$C$18,0,IF(AC51&lt;=Parameter!$C$19,(Parameter!$C$22*(AC51-Parameter!$C$18)/10000+Parameter!$C$23)*(AC51-Parameter!$C$18)/10000,IF(AC51&lt;=Parameter!$C$20,(Parameter!$C$24*(AC51-Parameter!$C$19)/10000+Parameter!$C$25)*(AC51-Parameter!$C$19)/10000+Parameter!$C$26,IF(AC51&lt;=Parameter!$C$21,0.42*AC51-Parameter!$C$27,0.45*AC51-Parameter!$C$28)))))</f>
        <v>0</v>
      </c>
      <c r="AE51" s="43" t="n">
        <f aca="false">AD51+IF(AD51&lt;=(Parameter!$C$30*Parameter!$C$57*F51),0,MIN(Parameter!$C$29*AD51,Parameter!$C$31*(AD51-(Parameter!$C$30*Parameter!$C$57*F51))))+Eingaben!$C$16*AD51</f>
        <v>0</v>
      </c>
      <c r="AF51" s="43" t="n">
        <f aca="false">AB51-AE51</f>
        <v>0</v>
      </c>
      <c r="AG51" s="43" t="n">
        <f aca="false">MAX(0,K51-T51-AF51)</f>
        <v>0</v>
      </c>
      <c r="AH51" s="43" t="n">
        <f aca="false">MIN(AG51,Parameter!$C$49)</f>
        <v>0</v>
      </c>
      <c r="AI51" s="43" t="n">
        <f aca="false">Parameter!$C$44*MIN(AH51,Parameter!$C$45)+Parameter!$C$46*MAX(0,MIN(AH51,Parameter!$C$47)-Parameter!$C$45)</f>
        <v>0</v>
      </c>
      <c r="AJ51" s="43" t="n">
        <f aca="false">MIN(AH51,Parameter!$C$48)*Eingaben!$C$18*IF(43&lt;Eingaben!$C$19,1,0)</f>
        <v>0</v>
      </c>
      <c r="AK51" s="43" t="n">
        <f aca="false">MIN(AI51+AJ51,MAX(0,Parameter!$C$49-AH51))</f>
        <v>0</v>
      </c>
      <c r="AL51" s="43" t="n">
        <f aca="false">MIN(MIN(AH51,Parameter!$C$47)+AK51,Parameter!$C$50)</f>
        <v>0</v>
      </c>
      <c r="AM51" s="43" t="n">
        <f aca="false">MAX(0,X51-AL51)</f>
        <v>0</v>
      </c>
      <c r="AN51" s="43" t="n">
        <f aca="false">MAX(0,(AM51+IF(Eingaben!$C$14=3,Eingaben!$C$15,0))/Parameter!$C$57/F51)</f>
        <v>0</v>
      </c>
      <c r="AO51" s="43" t="n">
        <f aca="false">Parameter!$C$57*F51*(IF(AN51&lt;=Parameter!$C$18,0,IF(AN51&lt;=Parameter!$C$19,(Parameter!$C$22*(AN51-Parameter!$C$18)/10000+Parameter!$C$23)*(AN51-Parameter!$C$18)/10000,IF(AN51&lt;=Parameter!$C$20,(Parameter!$C$24*(AN51-Parameter!$C$19)/10000+Parameter!$C$25)*(AN51-Parameter!$C$19)/10000+Parameter!$C$26,IF(AN51&lt;=Parameter!$C$21,0.42*AN51-Parameter!$C$27,0.45*AN51-Parameter!$C$28)))))</f>
        <v>0</v>
      </c>
      <c r="AP51" s="43" t="n">
        <f aca="false">AO51+IF(AO51&lt;=(Parameter!$C$30*Parameter!$C$57*F51),0,MIN(Parameter!$C$29*AO51,Parameter!$C$31*(AO51-(Parameter!$C$30*Parameter!$C$57*F51))))+Eingaben!$C$16*AO51</f>
        <v>0</v>
      </c>
      <c r="AQ51" s="43" t="n">
        <f aca="false">AB51-AP51</f>
        <v>0</v>
      </c>
      <c r="AR51" s="43" t="n">
        <f aca="false">MAX(0,AQ51-AK51)</f>
        <v>0</v>
      </c>
      <c r="AS51" s="43" t="n">
        <f aca="false">MIN(AH51,Parameter!$C$47)+AK51</f>
        <v>0</v>
      </c>
      <c r="AT51" s="43" t="n">
        <f aca="false">MAX(0,AH51-Parameter!$C$47)+AR50</f>
        <v>0</v>
      </c>
      <c r="AU51" s="43" t="n">
        <f aca="false">MAX(0,AG51-Parameter!$C$49)</f>
        <v>0</v>
      </c>
      <c r="AV51" s="43" t="n">
        <f aca="false">AG51</f>
        <v>0</v>
      </c>
      <c r="AW51" s="43" t="n">
        <f aca="false">IF(D51=0,AW50,AW50*(1+Parameter!$C$60)+P51*(1+Parameter!$C$60)^0.5)</f>
        <v>327329.147588884</v>
      </c>
      <c r="AX51" s="43" t="n">
        <f aca="false">IF(D51=0,AX50,AX50*(1+Parameter!$C$60)+Q51*(1+Parameter!$C$60)^0.5)</f>
        <v>0</v>
      </c>
      <c r="AY51" s="43" t="n">
        <f aca="false">IF(D51=0,AY50,AY50*(1+Parameter!$C$61)+AS51*(1+Parameter!$C$61)^0.5)</f>
        <v>155636.544221689</v>
      </c>
      <c r="AZ51" s="43" t="n">
        <f aca="false">IF(D51=0,AZ50,AZ50*(1+Parameter!$C$61)+AT51*(1+Parameter!$C$61)^0.5)</f>
        <v>62766.2683996872</v>
      </c>
      <c r="BA51" s="43" t="n">
        <f aca="false">IF(D51=0,BA50,BA50*(1+Parameter!$C$62)+AU51*(1+Parameter!$C$62)^0.5-BD51)</f>
        <v>0</v>
      </c>
      <c r="BB51" s="43" t="n">
        <f aca="false">IF(D51=0,BB50,BB50+AU51+BC51)</f>
        <v>0</v>
      </c>
      <c r="BC51" s="43" t="n">
        <f aca="false">MAX(0,MIN(BA50*(1+Parameter!$C$62)+AU51*(1+Parameter!$C$62)^0.5-BA50-AU51,BA50*Parameter!$C$39*Parameter!$C$40))</f>
        <v>0</v>
      </c>
      <c r="BD51" s="43" t="n">
        <f aca="false">MAX(0,BC51*(1-Parameter!$C$37)-Parameter!$C$67)*Parameter!$C$36</f>
        <v>0</v>
      </c>
      <c r="BE51" s="43" t="n">
        <f aca="false">IF(D51=0,BE50,BE50*(1+Parameter!$C$62)+AV51*(1+Parameter!$C$62)^0.5-BH51)</f>
        <v>167462.743358363</v>
      </c>
      <c r="BF51" s="43" t="n">
        <f aca="false">IF(D51=0,BF50,BF50+AV51+BG51)</f>
        <v>95281.8595308716</v>
      </c>
      <c r="BG51" s="43" t="n">
        <f aca="false">MAX(0,MIN(BE50*(1+Parameter!$C$62)+AV51*(1+Parameter!$C$62)^0.5-BE50-AV51,BE50*Parameter!$C$39*Parameter!$C$40))</f>
        <v>3751.16545122732</v>
      </c>
      <c r="BH51" s="43" t="n">
        <f aca="false">MAX(0,BG51*(1-Parameter!$C$37)-Parameter!$C$67)*Parameter!$C$36</f>
        <v>428.808921432844</v>
      </c>
      <c r="BI51" s="41" t="n">
        <f aca="false">R51/(Parameter!$C$8*E51)</f>
        <v>0</v>
      </c>
      <c r="BJ51" s="41" t="n">
        <f aca="false">BJ50+BI51</f>
        <v>1.59402433389804</v>
      </c>
    </row>
    <row r="52" customFormat="false" ht="15" hidden="false" customHeight="false" outlineLevel="0" collapsed="false">
      <c r="A52" s="30" t="n">
        <f aca="false">2026+44</f>
        <v>2070</v>
      </c>
      <c r="B52" s="30" t="n">
        <f aca="false">Eingaben!$C$5+44</f>
        <v>84</v>
      </c>
      <c r="C52" s="30" t="n">
        <f aca="false">IF(AND(B52&lt;Eingaben!$C$8,B52&lt;Eingaben!$C$6),1,0)</f>
        <v>0</v>
      </c>
      <c r="D52" s="30" t="n">
        <f aca="false">IF(B52&lt;Eingaben!$C$6,1,0)</f>
        <v>0</v>
      </c>
      <c r="E52" s="38" t="n">
        <f aca="false">(1+Eingaben!$C$13)^44</f>
        <v>2.96380807696588</v>
      </c>
      <c r="F52" s="38" t="n">
        <f aca="false">(1+Eingaben!$C$17)^44</f>
        <v>2.3900531424523</v>
      </c>
      <c r="G52" s="39" t="n">
        <f aca="false">IF(B52&gt;=Eingaben!$C$9,Eingaben!$C$10,1)</f>
        <v>0.6</v>
      </c>
      <c r="H52" s="40" t="n">
        <f aca="false">Eingaben!$C$12*E52*G52*C52</f>
        <v>0</v>
      </c>
      <c r="I52" s="40" t="n">
        <f aca="false">Parameter!$C$4*E52</f>
        <v>300530.13900434</v>
      </c>
      <c r="J52" s="40" t="n">
        <f aca="false">Parameter!$C$5*E52</f>
        <v>206725.61336837</v>
      </c>
      <c r="K52" s="40" t="n">
        <f aca="false">MIN(H52,12*(IF(Eingaben!$C$22=2,Umrechnung!$C$54,Eingaben!$C$23))*IF(Eingaben!$C$25=1,E52,1))*C52</f>
        <v>0</v>
      </c>
      <c r="L52" s="40" t="n">
        <f aca="false">MIN(K52,MAX(0,Parameter!$C$42*I52-N52))</f>
        <v>0</v>
      </c>
      <c r="M52" s="40" t="n">
        <f aca="false">MIN(K52,Parameter!$C$43*I52)</f>
        <v>0</v>
      </c>
      <c r="N52" s="40" t="n">
        <f aca="false">IF(Eingaben!$C$27=2,MIN(Eingaben!$C$26*K52,U52),Eingaben!$C$26*IF(Eingaben!$C$27=1,M52,K52))</f>
        <v>0</v>
      </c>
      <c r="O52" s="40" t="n">
        <f aca="false">K52+N52</f>
        <v>0</v>
      </c>
      <c r="P52" s="40" t="n">
        <f aca="false">MIN(O52,Parameter!$C$42*I52)</f>
        <v>0</v>
      </c>
      <c r="Q52" s="40" t="n">
        <f aca="false">O52-P52</f>
        <v>0</v>
      </c>
      <c r="R52" s="40" t="n">
        <f aca="false">MIN(H52,I52)-MIN(H52-M52,I52)</f>
        <v>0</v>
      </c>
      <c r="S52" s="40" t="n">
        <f aca="false">MIN(H52,J52)-MIN(H52-M52,J52)</f>
        <v>0</v>
      </c>
      <c r="T52" s="40" t="n">
        <f aca="false">R52*(Parameter!$C$10+Parameter!$C$11)+S52*((Parameter!$C$12+Parameter!$C$13)/2+Parameter!$C$58)</f>
        <v>0</v>
      </c>
      <c r="U52" s="40" t="n">
        <f aca="false">R52*(Parameter!$C$10+Parameter!$C$11)+S52*((Parameter!$C$12+Parameter!$C$13)/2+Parameter!$C$15)</f>
        <v>0</v>
      </c>
      <c r="V52" s="40" t="n">
        <f aca="false">MIN(H52,I52)*Parameter!$C$10+MIN(H52,J52)*(0.96*(Parameter!$C$12+Parameter!$C$13)/2+Parameter!$C$58)</f>
        <v>0</v>
      </c>
      <c r="W52" s="40" t="n">
        <f aca="false">MIN(H52-M52,I52)*Parameter!$C$10+MIN(H52-M52,J52)*(0.96*(Parameter!$C$12+Parameter!$C$13)/2+Parameter!$C$58)</f>
        <v>0</v>
      </c>
      <c r="X52" s="40" t="n">
        <f aca="false">MAX(0,H52-Parameter!$C$32*F52-Parameter!$C$33-V52)</f>
        <v>0</v>
      </c>
      <c r="Y52" s="40" t="n">
        <f aca="false">MAX(0,H52-L52-Parameter!$C$32*F52-Parameter!$C$33-W52)</f>
        <v>0</v>
      </c>
      <c r="Z52" s="40" t="n">
        <f aca="false">MAX(0,(X52+IF(Eingaben!$C$14=3,Eingaben!$C$15,0))/Parameter!$C$57/F52)</f>
        <v>0</v>
      </c>
      <c r="AA52" s="40" t="n">
        <f aca="false">Parameter!$C$57*F52*(IF(Z52&lt;=Parameter!$C$18,0,IF(Z52&lt;=Parameter!$C$19,(Parameter!$C$22*(Z52-Parameter!$C$18)/10000+Parameter!$C$23)*(Z52-Parameter!$C$18)/10000,IF(Z52&lt;=Parameter!$C$20,(Parameter!$C$24*(Z52-Parameter!$C$19)/10000+Parameter!$C$25)*(Z52-Parameter!$C$19)/10000+Parameter!$C$26,IF(Z52&lt;=Parameter!$C$21,0.42*Z52-Parameter!$C$27,0.45*Z52-Parameter!$C$28)))))</f>
        <v>0</v>
      </c>
      <c r="AB52" s="40" t="n">
        <f aca="false">AA52+IF(AA52&lt;=(Parameter!$C$30*Parameter!$C$57*F52),0,MIN(Parameter!$C$29*AA52,Parameter!$C$31*(AA52-(Parameter!$C$30*Parameter!$C$57*F52))))+Eingaben!$C$16*AA52</f>
        <v>0</v>
      </c>
      <c r="AC52" s="40" t="n">
        <f aca="false">MAX(0,(Y52+IF(Eingaben!$C$14=3,Eingaben!$C$15,0))/Parameter!$C$57/F52)</f>
        <v>0</v>
      </c>
      <c r="AD52" s="40" t="n">
        <f aca="false">Parameter!$C$57*F52*(IF(AC52&lt;=Parameter!$C$18,0,IF(AC52&lt;=Parameter!$C$19,(Parameter!$C$22*(AC52-Parameter!$C$18)/10000+Parameter!$C$23)*(AC52-Parameter!$C$18)/10000,IF(AC52&lt;=Parameter!$C$20,(Parameter!$C$24*(AC52-Parameter!$C$19)/10000+Parameter!$C$25)*(AC52-Parameter!$C$19)/10000+Parameter!$C$26,IF(AC52&lt;=Parameter!$C$21,0.42*AC52-Parameter!$C$27,0.45*AC52-Parameter!$C$28)))))</f>
        <v>0</v>
      </c>
      <c r="AE52" s="40" t="n">
        <f aca="false">AD52+IF(AD52&lt;=(Parameter!$C$30*Parameter!$C$57*F52),0,MIN(Parameter!$C$29*AD52,Parameter!$C$31*(AD52-(Parameter!$C$30*Parameter!$C$57*F52))))+Eingaben!$C$16*AD52</f>
        <v>0</v>
      </c>
      <c r="AF52" s="40" t="n">
        <f aca="false">AB52-AE52</f>
        <v>0</v>
      </c>
      <c r="AG52" s="40" t="n">
        <f aca="false">MAX(0,K52-T52-AF52)</f>
        <v>0</v>
      </c>
      <c r="AH52" s="40" t="n">
        <f aca="false">MIN(AG52,Parameter!$C$49)</f>
        <v>0</v>
      </c>
      <c r="AI52" s="40" t="n">
        <f aca="false">Parameter!$C$44*MIN(AH52,Parameter!$C$45)+Parameter!$C$46*MAX(0,MIN(AH52,Parameter!$C$47)-Parameter!$C$45)</f>
        <v>0</v>
      </c>
      <c r="AJ52" s="40" t="n">
        <f aca="false">MIN(AH52,Parameter!$C$48)*Eingaben!$C$18*IF(44&lt;Eingaben!$C$19,1,0)</f>
        <v>0</v>
      </c>
      <c r="AK52" s="40" t="n">
        <f aca="false">MIN(AI52+AJ52,MAX(0,Parameter!$C$49-AH52))</f>
        <v>0</v>
      </c>
      <c r="AL52" s="40" t="n">
        <f aca="false">MIN(MIN(AH52,Parameter!$C$47)+AK52,Parameter!$C$50)</f>
        <v>0</v>
      </c>
      <c r="AM52" s="40" t="n">
        <f aca="false">MAX(0,X52-AL52)</f>
        <v>0</v>
      </c>
      <c r="AN52" s="40" t="n">
        <f aca="false">MAX(0,(AM52+IF(Eingaben!$C$14=3,Eingaben!$C$15,0))/Parameter!$C$57/F52)</f>
        <v>0</v>
      </c>
      <c r="AO52" s="40" t="n">
        <f aca="false">Parameter!$C$57*F52*(IF(AN52&lt;=Parameter!$C$18,0,IF(AN52&lt;=Parameter!$C$19,(Parameter!$C$22*(AN52-Parameter!$C$18)/10000+Parameter!$C$23)*(AN52-Parameter!$C$18)/10000,IF(AN52&lt;=Parameter!$C$20,(Parameter!$C$24*(AN52-Parameter!$C$19)/10000+Parameter!$C$25)*(AN52-Parameter!$C$19)/10000+Parameter!$C$26,IF(AN52&lt;=Parameter!$C$21,0.42*AN52-Parameter!$C$27,0.45*AN52-Parameter!$C$28)))))</f>
        <v>0</v>
      </c>
      <c r="AP52" s="40" t="n">
        <f aca="false">AO52+IF(AO52&lt;=(Parameter!$C$30*Parameter!$C$57*F52),0,MIN(Parameter!$C$29*AO52,Parameter!$C$31*(AO52-(Parameter!$C$30*Parameter!$C$57*F52))))+Eingaben!$C$16*AO52</f>
        <v>0</v>
      </c>
      <c r="AQ52" s="40" t="n">
        <f aca="false">AB52-AP52</f>
        <v>0</v>
      </c>
      <c r="AR52" s="40" t="n">
        <f aca="false">MAX(0,AQ52-AK52)</f>
        <v>0</v>
      </c>
      <c r="AS52" s="40" t="n">
        <f aca="false">MIN(AH52,Parameter!$C$47)+AK52</f>
        <v>0</v>
      </c>
      <c r="AT52" s="40" t="n">
        <f aca="false">MAX(0,AH52-Parameter!$C$47)+AR51</f>
        <v>0</v>
      </c>
      <c r="AU52" s="40" t="n">
        <f aca="false">MAX(0,AG52-Parameter!$C$49)</f>
        <v>0</v>
      </c>
      <c r="AV52" s="40" t="n">
        <f aca="false">AG52</f>
        <v>0</v>
      </c>
      <c r="AW52" s="40" t="n">
        <f aca="false">IF(D52=0,AW51,AW51*(1+Parameter!$C$60)+P52*(1+Parameter!$C$60)^0.5)</f>
        <v>327329.147588884</v>
      </c>
      <c r="AX52" s="40" t="n">
        <f aca="false">IF(D52=0,AX51,AX51*(1+Parameter!$C$60)+Q52*(1+Parameter!$C$60)^0.5)</f>
        <v>0</v>
      </c>
      <c r="AY52" s="40" t="n">
        <f aca="false">IF(D52=0,AY51,AY51*(1+Parameter!$C$61)+AS52*(1+Parameter!$C$61)^0.5)</f>
        <v>155636.544221689</v>
      </c>
      <c r="AZ52" s="40" t="n">
        <f aca="false">IF(D52=0,AZ51,AZ51*(1+Parameter!$C$61)+AT52*(1+Parameter!$C$61)^0.5)</f>
        <v>62766.2683996872</v>
      </c>
      <c r="BA52" s="40" t="n">
        <f aca="false">IF(D52=0,BA51,BA51*(1+Parameter!$C$62)+AU52*(1+Parameter!$C$62)^0.5-BD52)</f>
        <v>0</v>
      </c>
      <c r="BB52" s="40" t="n">
        <f aca="false">IF(D52=0,BB51,BB51+AU52+BC52)</f>
        <v>0</v>
      </c>
      <c r="BC52" s="40" t="n">
        <f aca="false">MAX(0,MIN(BA51*(1+Parameter!$C$62)+AU52*(1+Parameter!$C$62)^0.5-BA51-AU52,BA51*Parameter!$C$39*Parameter!$C$40))</f>
        <v>0</v>
      </c>
      <c r="BD52" s="40" t="n">
        <f aca="false">MAX(0,BC52*(1-Parameter!$C$37)-Parameter!$C$67)*Parameter!$C$36</f>
        <v>0</v>
      </c>
      <c r="BE52" s="40" t="n">
        <f aca="false">IF(D52=0,BE51,BE51*(1+Parameter!$C$62)+AV52*(1+Parameter!$C$62)^0.5-BH52)</f>
        <v>167462.743358363</v>
      </c>
      <c r="BF52" s="40" t="n">
        <f aca="false">IF(D52=0,BF51,BF51+AV52+BG52)</f>
        <v>95281.8595308716</v>
      </c>
      <c r="BG52" s="40" t="n">
        <f aca="false">MAX(0,MIN(BE51*(1+Parameter!$C$62)+AV52*(1+Parameter!$C$62)^0.5-BE51-AV52,BE51*Parameter!$C$39*Parameter!$C$40))</f>
        <v>3751.16545122732</v>
      </c>
      <c r="BH52" s="40" t="n">
        <f aca="false">MAX(0,BG52*(1-Parameter!$C$37)-Parameter!$C$67)*Parameter!$C$36</f>
        <v>428.808921432844</v>
      </c>
      <c r="BI52" s="38" t="n">
        <f aca="false">R52/(Parameter!$C$8*E52)</f>
        <v>0</v>
      </c>
      <c r="BJ52" s="38" t="n">
        <f aca="false">BJ51+BI52</f>
        <v>1.59402433389804</v>
      </c>
    </row>
    <row r="53" customFormat="false" ht="15" hidden="false" customHeight="false" outlineLevel="0" collapsed="false">
      <c r="A53" s="32" t="n">
        <f aca="false">2026+45</f>
        <v>2071</v>
      </c>
      <c r="B53" s="32" t="n">
        <f aca="false">Eingaben!$C$5+45</f>
        <v>85</v>
      </c>
      <c r="C53" s="32" t="n">
        <f aca="false">IF(AND(B53&lt;Eingaben!$C$8,B53&lt;Eingaben!$C$6),1,0)</f>
        <v>0</v>
      </c>
      <c r="D53" s="32" t="n">
        <f aca="false">IF(B53&lt;Eingaben!$C$6,1,0)</f>
        <v>0</v>
      </c>
      <c r="E53" s="41" t="n">
        <f aca="false">(1+Eingaben!$C$13)^45</f>
        <v>3.03790327889003</v>
      </c>
      <c r="F53" s="41" t="n">
        <f aca="false">(1+Eingaben!$C$17)^45</f>
        <v>2.43785420530135</v>
      </c>
      <c r="G53" s="42" t="n">
        <f aca="false">IF(B53&gt;=Eingaben!$C$9,Eingaben!$C$10,1)</f>
        <v>0.6</v>
      </c>
      <c r="H53" s="43" t="n">
        <f aca="false">Eingaben!$C$12*E53*G53*C53</f>
        <v>0</v>
      </c>
      <c r="I53" s="43" t="n">
        <f aca="false">Parameter!$C$4*E53</f>
        <v>308043.392479449</v>
      </c>
      <c r="J53" s="43" t="n">
        <f aca="false">Parameter!$C$5*E53</f>
        <v>211893.75370258</v>
      </c>
      <c r="K53" s="43" t="n">
        <f aca="false">MIN(H53,12*(IF(Eingaben!$C$22=2,Umrechnung!$C$54,Eingaben!$C$23))*IF(Eingaben!$C$25=1,E53,1))*C53</f>
        <v>0</v>
      </c>
      <c r="L53" s="43" t="n">
        <f aca="false">MIN(K53,MAX(0,Parameter!$C$42*I53-N53))</f>
        <v>0</v>
      </c>
      <c r="M53" s="43" t="n">
        <f aca="false">MIN(K53,Parameter!$C$43*I53)</f>
        <v>0</v>
      </c>
      <c r="N53" s="43" t="n">
        <f aca="false">IF(Eingaben!$C$27=2,MIN(Eingaben!$C$26*K53,U53),Eingaben!$C$26*IF(Eingaben!$C$27=1,M53,K53))</f>
        <v>0</v>
      </c>
      <c r="O53" s="43" t="n">
        <f aca="false">K53+N53</f>
        <v>0</v>
      </c>
      <c r="P53" s="43" t="n">
        <f aca="false">MIN(O53,Parameter!$C$42*I53)</f>
        <v>0</v>
      </c>
      <c r="Q53" s="43" t="n">
        <f aca="false">O53-P53</f>
        <v>0</v>
      </c>
      <c r="R53" s="43" t="n">
        <f aca="false">MIN(H53,I53)-MIN(H53-M53,I53)</f>
        <v>0</v>
      </c>
      <c r="S53" s="43" t="n">
        <f aca="false">MIN(H53,J53)-MIN(H53-M53,J53)</f>
        <v>0</v>
      </c>
      <c r="T53" s="43" t="n">
        <f aca="false">R53*(Parameter!$C$10+Parameter!$C$11)+S53*((Parameter!$C$12+Parameter!$C$13)/2+Parameter!$C$58)</f>
        <v>0</v>
      </c>
      <c r="U53" s="43" t="n">
        <f aca="false">R53*(Parameter!$C$10+Parameter!$C$11)+S53*((Parameter!$C$12+Parameter!$C$13)/2+Parameter!$C$15)</f>
        <v>0</v>
      </c>
      <c r="V53" s="43" t="n">
        <f aca="false">MIN(H53,I53)*Parameter!$C$10+MIN(H53,J53)*(0.96*(Parameter!$C$12+Parameter!$C$13)/2+Parameter!$C$58)</f>
        <v>0</v>
      </c>
      <c r="W53" s="43" t="n">
        <f aca="false">MIN(H53-M53,I53)*Parameter!$C$10+MIN(H53-M53,J53)*(0.96*(Parameter!$C$12+Parameter!$C$13)/2+Parameter!$C$58)</f>
        <v>0</v>
      </c>
      <c r="X53" s="43" t="n">
        <f aca="false">MAX(0,H53-Parameter!$C$32*F53-Parameter!$C$33-V53)</f>
        <v>0</v>
      </c>
      <c r="Y53" s="43" t="n">
        <f aca="false">MAX(0,H53-L53-Parameter!$C$32*F53-Parameter!$C$33-W53)</f>
        <v>0</v>
      </c>
      <c r="Z53" s="43" t="n">
        <f aca="false">MAX(0,(X53+IF(Eingaben!$C$14=3,Eingaben!$C$15,0))/Parameter!$C$57/F53)</f>
        <v>0</v>
      </c>
      <c r="AA53" s="43" t="n">
        <f aca="false">Parameter!$C$57*F53*(IF(Z53&lt;=Parameter!$C$18,0,IF(Z53&lt;=Parameter!$C$19,(Parameter!$C$22*(Z53-Parameter!$C$18)/10000+Parameter!$C$23)*(Z53-Parameter!$C$18)/10000,IF(Z53&lt;=Parameter!$C$20,(Parameter!$C$24*(Z53-Parameter!$C$19)/10000+Parameter!$C$25)*(Z53-Parameter!$C$19)/10000+Parameter!$C$26,IF(Z53&lt;=Parameter!$C$21,0.42*Z53-Parameter!$C$27,0.45*Z53-Parameter!$C$28)))))</f>
        <v>0</v>
      </c>
      <c r="AB53" s="43" t="n">
        <f aca="false">AA53+IF(AA53&lt;=(Parameter!$C$30*Parameter!$C$57*F53),0,MIN(Parameter!$C$29*AA53,Parameter!$C$31*(AA53-(Parameter!$C$30*Parameter!$C$57*F53))))+Eingaben!$C$16*AA53</f>
        <v>0</v>
      </c>
      <c r="AC53" s="43" t="n">
        <f aca="false">MAX(0,(Y53+IF(Eingaben!$C$14=3,Eingaben!$C$15,0))/Parameter!$C$57/F53)</f>
        <v>0</v>
      </c>
      <c r="AD53" s="43" t="n">
        <f aca="false">Parameter!$C$57*F53*(IF(AC53&lt;=Parameter!$C$18,0,IF(AC53&lt;=Parameter!$C$19,(Parameter!$C$22*(AC53-Parameter!$C$18)/10000+Parameter!$C$23)*(AC53-Parameter!$C$18)/10000,IF(AC53&lt;=Parameter!$C$20,(Parameter!$C$24*(AC53-Parameter!$C$19)/10000+Parameter!$C$25)*(AC53-Parameter!$C$19)/10000+Parameter!$C$26,IF(AC53&lt;=Parameter!$C$21,0.42*AC53-Parameter!$C$27,0.45*AC53-Parameter!$C$28)))))</f>
        <v>0</v>
      </c>
      <c r="AE53" s="43" t="n">
        <f aca="false">AD53+IF(AD53&lt;=(Parameter!$C$30*Parameter!$C$57*F53),0,MIN(Parameter!$C$29*AD53,Parameter!$C$31*(AD53-(Parameter!$C$30*Parameter!$C$57*F53))))+Eingaben!$C$16*AD53</f>
        <v>0</v>
      </c>
      <c r="AF53" s="43" t="n">
        <f aca="false">AB53-AE53</f>
        <v>0</v>
      </c>
      <c r="AG53" s="43" t="n">
        <f aca="false">MAX(0,K53-T53-AF53)</f>
        <v>0</v>
      </c>
      <c r="AH53" s="43" t="n">
        <f aca="false">MIN(AG53,Parameter!$C$49)</f>
        <v>0</v>
      </c>
      <c r="AI53" s="43" t="n">
        <f aca="false">Parameter!$C$44*MIN(AH53,Parameter!$C$45)+Parameter!$C$46*MAX(0,MIN(AH53,Parameter!$C$47)-Parameter!$C$45)</f>
        <v>0</v>
      </c>
      <c r="AJ53" s="43" t="n">
        <f aca="false">MIN(AH53,Parameter!$C$48)*Eingaben!$C$18*IF(45&lt;Eingaben!$C$19,1,0)</f>
        <v>0</v>
      </c>
      <c r="AK53" s="43" t="n">
        <f aca="false">MIN(AI53+AJ53,MAX(0,Parameter!$C$49-AH53))</f>
        <v>0</v>
      </c>
      <c r="AL53" s="43" t="n">
        <f aca="false">MIN(MIN(AH53,Parameter!$C$47)+AK53,Parameter!$C$50)</f>
        <v>0</v>
      </c>
      <c r="AM53" s="43" t="n">
        <f aca="false">MAX(0,X53-AL53)</f>
        <v>0</v>
      </c>
      <c r="AN53" s="43" t="n">
        <f aca="false">MAX(0,(AM53+IF(Eingaben!$C$14=3,Eingaben!$C$15,0))/Parameter!$C$57/F53)</f>
        <v>0</v>
      </c>
      <c r="AO53" s="43" t="n">
        <f aca="false">Parameter!$C$57*F53*(IF(AN53&lt;=Parameter!$C$18,0,IF(AN53&lt;=Parameter!$C$19,(Parameter!$C$22*(AN53-Parameter!$C$18)/10000+Parameter!$C$23)*(AN53-Parameter!$C$18)/10000,IF(AN53&lt;=Parameter!$C$20,(Parameter!$C$24*(AN53-Parameter!$C$19)/10000+Parameter!$C$25)*(AN53-Parameter!$C$19)/10000+Parameter!$C$26,IF(AN53&lt;=Parameter!$C$21,0.42*AN53-Parameter!$C$27,0.45*AN53-Parameter!$C$28)))))</f>
        <v>0</v>
      </c>
      <c r="AP53" s="43" t="n">
        <f aca="false">AO53+IF(AO53&lt;=(Parameter!$C$30*Parameter!$C$57*F53),0,MIN(Parameter!$C$29*AO53,Parameter!$C$31*(AO53-(Parameter!$C$30*Parameter!$C$57*F53))))+Eingaben!$C$16*AO53</f>
        <v>0</v>
      </c>
      <c r="AQ53" s="43" t="n">
        <f aca="false">AB53-AP53</f>
        <v>0</v>
      </c>
      <c r="AR53" s="43" t="n">
        <f aca="false">MAX(0,AQ53-AK53)</f>
        <v>0</v>
      </c>
      <c r="AS53" s="43" t="n">
        <f aca="false">MIN(AH53,Parameter!$C$47)+AK53</f>
        <v>0</v>
      </c>
      <c r="AT53" s="43" t="n">
        <f aca="false">MAX(0,AH53-Parameter!$C$47)+AR52</f>
        <v>0</v>
      </c>
      <c r="AU53" s="43" t="n">
        <f aca="false">MAX(0,AG53-Parameter!$C$49)</f>
        <v>0</v>
      </c>
      <c r="AV53" s="43" t="n">
        <f aca="false">AG53</f>
        <v>0</v>
      </c>
      <c r="AW53" s="43" t="n">
        <f aca="false">IF(D53=0,AW52,AW52*(1+Parameter!$C$60)+P53*(1+Parameter!$C$60)^0.5)</f>
        <v>327329.147588884</v>
      </c>
      <c r="AX53" s="43" t="n">
        <f aca="false">IF(D53=0,AX52,AX52*(1+Parameter!$C$60)+Q53*(1+Parameter!$C$60)^0.5)</f>
        <v>0</v>
      </c>
      <c r="AY53" s="43" t="n">
        <f aca="false">IF(D53=0,AY52,AY52*(1+Parameter!$C$61)+AS53*(1+Parameter!$C$61)^0.5)</f>
        <v>155636.544221689</v>
      </c>
      <c r="AZ53" s="43" t="n">
        <f aca="false">IF(D53=0,AZ52,AZ52*(1+Parameter!$C$61)+AT53*(1+Parameter!$C$61)^0.5)</f>
        <v>62766.2683996872</v>
      </c>
      <c r="BA53" s="43" t="n">
        <f aca="false">IF(D53=0,BA52,BA52*(1+Parameter!$C$62)+AU53*(1+Parameter!$C$62)^0.5-BD53)</f>
        <v>0</v>
      </c>
      <c r="BB53" s="43" t="n">
        <f aca="false">IF(D53=0,BB52,BB52+AU53+BC53)</f>
        <v>0</v>
      </c>
      <c r="BC53" s="43" t="n">
        <f aca="false">MAX(0,MIN(BA52*(1+Parameter!$C$62)+AU53*(1+Parameter!$C$62)^0.5-BA52-AU53,BA52*Parameter!$C$39*Parameter!$C$40))</f>
        <v>0</v>
      </c>
      <c r="BD53" s="43" t="n">
        <f aca="false">MAX(0,BC53*(1-Parameter!$C$37)-Parameter!$C$67)*Parameter!$C$36</f>
        <v>0</v>
      </c>
      <c r="BE53" s="43" t="n">
        <f aca="false">IF(D53=0,BE52,BE52*(1+Parameter!$C$62)+AV53*(1+Parameter!$C$62)^0.5-BH53)</f>
        <v>167462.743358363</v>
      </c>
      <c r="BF53" s="43" t="n">
        <f aca="false">IF(D53=0,BF52,BF52+AV53+BG53)</f>
        <v>95281.8595308716</v>
      </c>
      <c r="BG53" s="43" t="n">
        <f aca="false">MAX(0,MIN(BE52*(1+Parameter!$C$62)+AV53*(1+Parameter!$C$62)^0.5-BE52-AV53,BE52*Parameter!$C$39*Parameter!$C$40))</f>
        <v>3751.16545122732</v>
      </c>
      <c r="BH53" s="43" t="n">
        <f aca="false">MAX(0,BG53*(1-Parameter!$C$37)-Parameter!$C$67)*Parameter!$C$36</f>
        <v>428.808921432844</v>
      </c>
      <c r="BI53" s="41" t="n">
        <f aca="false">R53/(Parameter!$C$8*E53)</f>
        <v>0</v>
      </c>
      <c r="BJ53" s="41" t="n">
        <f aca="false">BJ52+BI53</f>
        <v>1.59402433389804</v>
      </c>
    </row>
    <row r="54" customFormat="false" ht="15" hidden="false" customHeight="false" outlineLevel="0" collapsed="false">
      <c r="A54" s="30" t="n">
        <f aca="false">2026+46</f>
        <v>2072</v>
      </c>
      <c r="B54" s="30" t="n">
        <f aca="false">Eingaben!$C$5+46</f>
        <v>86</v>
      </c>
      <c r="C54" s="30" t="n">
        <f aca="false">IF(AND(B54&lt;Eingaben!$C$8,B54&lt;Eingaben!$C$6),1,0)</f>
        <v>0</v>
      </c>
      <c r="D54" s="30" t="n">
        <f aca="false">IF(B54&lt;Eingaben!$C$6,1,0)</f>
        <v>0</v>
      </c>
      <c r="E54" s="38" t="n">
        <f aca="false">(1+Eingaben!$C$13)^46</f>
        <v>3.11385086086228</v>
      </c>
      <c r="F54" s="38" t="n">
        <f aca="false">(1+Eingaben!$C$17)^46</f>
        <v>2.48661128940737</v>
      </c>
      <c r="G54" s="39" t="n">
        <f aca="false">IF(B54&gt;=Eingaben!$C$9,Eingaben!$C$10,1)</f>
        <v>0.6</v>
      </c>
      <c r="H54" s="40" t="n">
        <f aca="false">Eingaben!$C$12*E54*G54*C54</f>
        <v>0</v>
      </c>
      <c r="I54" s="40" t="n">
        <f aca="false">Parameter!$C$4*E54</f>
        <v>315744.477291435</v>
      </c>
      <c r="J54" s="40" t="n">
        <f aca="false">Parameter!$C$5*E54</f>
        <v>217191.097545144</v>
      </c>
      <c r="K54" s="40" t="n">
        <f aca="false">MIN(H54,12*(IF(Eingaben!$C$22=2,Umrechnung!$C$54,Eingaben!$C$23))*IF(Eingaben!$C$25=1,E54,1))*C54</f>
        <v>0</v>
      </c>
      <c r="L54" s="40" t="n">
        <f aca="false">MIN(K54,MAX(0,Parameter!$C$42*I54-N54))</f>
        <v>0</v>
      </c>
      <c r="M54" s="40" t="n">
        <f aca="false">MIN(K54,Parameter!$C$43*I54)</f>
        <v>0</v>
      </c>
      <c r="N54" s="40" t="n">
        <f aca="false">IF(Eingaben!$C$27=2,MIN(Eingaben!$C$26*K54,U54),Eingaben!$C$26*IF(Eingaben!$C$27=1,M54,K54))</f>
        <v>0</v>
      </c>
      <c r="O54" s="40" t="n">
        <f aca="false">K54+N54</f>
        <v>0</v>
      </c>
      <c r="P54" s="40" t="n">
        <f aca="false">MIN(O54,Parameter!$C$42*I54)</f>
        <v>0</v>
      </c>
      <c r="Q54" s="40" t="n">
        <f aca="false">O54-P54</f>
        <v>0</v>
      </c>
      <c r="R54" s="40" t="n">
        <f aca="false">MIN(H54,I54)-MIN(H54-M54,I54)</f>
        <v>0</v>
      </c>
      <c r="S54" s="40" t="n">
        <f aca="false">MIN(H54,J54)-MIN(H54-M54,J54)</f>
        <v>0</v>
      </c>
      <c r="T54" s="40" t="n">
        <f aca="false">R54*(Parameter!$C$10+Parameter!$C$11)+S54*((Parameter!$C$12+Parameter!$C$13)/2+Parameter!$C$58)</f>
        <v>0</v>
      </c>
      <c r="U54" s="40" t="n">
        <f aca="false">R54*(Parameter!$C$10+Parameter!$C$11)+S54*((Parameter!$C$12+Parameter!$C$13)/2+Parameter!$C$15)</f>
        <v>0</v>
      </c>
      <c r="V54" s="40" t="n">
        <f aca="false">MIN(H54,I54)*Parameter!$C$10+MIN(H54,J54)*(0.96*(Parameter!$C$12+Parameter!$C$13)/2+Parameter!$C$58)</f>
        <v>0</v>
      </c>
      <c r="W54" s="40" t="n">
        <f aca="false">MIN(H54-M54,I54)*Parameter!$C$10+MIN(H54-M54,J54)*(0.96*(Parameter!$C$12+Parameter!$C$13)/2+Parameter!$C$58)</f>
        <v>0</v>
      </c>
      <c r="X54" s="40" t="n">
        <f aca="false">MAX(0,H54-Parameter!$C$32*F54-Parameter!$C$33-V54)</f>
        <v>0</v>
      </c>
      <c r="Y54" s="40" t="n">
        <f aca="false">MAX(0,H54-L54-Parameter!$C$32*F54-Parameter!$C$33-W54)</f>
        <v>0</v>
      </c>
      <c r="Z54" s="40" t="n">
        <f aca="false">MAX(0,(X54+IF(Eingaben!$C$14=3,Eingaben!$C$15,0))/Parameter!$C$57/F54)</f>
        <v>0</v>
      </c>
      <c r="AA54" s="40" t="n">
        <f aca="false">Parameter!$C$57*F54*(IF(Z54&lt;=Parameter!$C$18,0,IF(Z54&lt;=Parameter!$C$19,(Parameter!$C$22*(Z54-Parameter!$C$18)/10000+Parameter!$C$23)*(Z54-Parameter!$C$18)/10000,IF(Z54&lt;=Parameter!$C$20,(Parameter!$C$24*(Z54-Parameter!$C$19)/10000+Parameter!$C$25)*(Z54-Parameter!$C$19)/10000+Parameter!$C$26,IF(Z54&lt;=Parameter!$C$21,0.42*Z54-Parameter!$C$27,0.45*Z54-Parameter!$C$28)))))</f>
        <v>0</v>
      </c>
      <c r="AB54" s="40" t="n">
        <f aca="false">AA54+IF(AA54&lt;=(Parameter!$C$30*Parameter!$C$57*F54),0,MIN(Parameter!$C$29*AA54,Parameter!$C$31*(AA54-(Parameter!$C$30*Parameter!$C$57*F54))))+Eingaben!$C$16*AA54</f>
        <v>0</v>
      </c>
      <c r="AC54" s="40" t="n">
        <f aca="false">MAX(0,(Y54+IF(Eingaben!$C$14=3,Eingaben!$C$15,0))/Parameter!$C$57/F54)</f>
        <v>0</v>
      </c>
      <c r="AD54" s="40" t="n">
        <f aca="false">Parameter!$C$57*F54*(IF(AC54&lt;=Parameter!$C$18,0,IF(AC54&lt;=Parameter!$C$19,(Parameter!$C$22*(AC54-Parameter!$C$18)/10000+Parameter!$C$23)*(AC54-Parameter!$C$18)/10000,IF(AC54&lt;=Parameter!$C$20,(Parameter!$C$24*(AC54-Parameter!$C$19)/10000+Parameter!$C$25)*(AC54-Parameter!$C$19)/10000+Parameter!$C$26,IF(AC54&lt;=Parameter!$C$21,0.42*AC54-Parameter!$C$27,0.45*AC54-Parameter!$C$28)))))</f>
        <v>0</v>
      </c>
      <c r="AE54" s="40" t="n">
        <f aca="false">AD54+IF(AD54&lt;=(Parameter!$C$30*Parameter!$C$57*F54),0,MIN(Parameter!$C$29*AD54,Parameter!$C$31*(AD54-(Parameter!$C$30*Parameter!$C$57*F54))))+Eingaben!$C$16*AD54</f>
        <v>0</v>
      </c>
      <c r="AF54" s="40" t="n">
        <f aca="false">AB54-AE54</f>
        <v>0</v>
      </c>
      <c r="AG54" s="40" t="n">
        <f aca="false">MAX(0,K54-T54-AF54)</f>
        <v>0</v>
      </c>
      <c r="AH54" s="40" t="n">
        <f aca="false">MIN(AG54,Parameter!$C$49)</f>
        <v>0</v>
      </c>
      <c r="AI54" s="40" t="n">
        <f aca="false">Parameter!$C$44*MIN(AH54,Parameter!$C$45)+Parameter!$C$46*MAX(0,MIN(AH54,Parameter!$C$47)-Parameter!$C$45)</f>
        <v>0</v>
      </c>
      <c r="AJ54" s="40" t="n">
        <f aca="false">MIN(AH54,Parameter!$C$48)*Eingaben!$C$18*IF(46&lt;Eingaben!$C$19,1,0)</f>
        <v>0</v>
      </c>
      <c r="AK54" s="40" t="n">
        <f aca="false">MIN(AI54+AJ54,MAX(0,Parameter!$C$49-AH54))</f>
        <v>0</v>
      </c>
      <c r="AL54" s="40" t="n">
        <f aca="false">MIN(MIN(AH54,Parameter!$C$47)+AK54,Parameter!$C$50)</f>
        <v>0</v>
      </c>
      <c r="AM54" s="40" t="n">
        <f aca="false">MAX(0,X54-AL54)</f>
        <v>0</v>
      </c>
      <c r="AN54" s="40" t="n">
        <f aca="false">MAX(0,(AM54+IF(Eingaben!$C$14=3,Eingaben!$C$15,0))/Parameter!$C$57/F54)</f>
        <v>0</v>
      </c>
      <c r="AO54" s="40" t="n">
        <f aca="false">Parameter!$C$57*F54*(IF(AN54&lt;=Parameter!$C$18,0,IF(AN54&lt;=Parameter!$C$19,(Parameter!$C$22*(AN54-Parameter!$C$18)/10000+Parameter!$C$23)*(AN54-Parameter!$C$18)/10000,IF(AN54&lt;=Parameter!$C$20,(Parameter!$C$24*(AN54-Parameter!$C$19)/10000+Parameter!$C$25)*(AN54-Parameter!$C$19)/10000+Parameter!$C$26,IF(AN54&lt;=Parameter!$C$21,0.42*AN54-Parameter!$C$27,0.45*AN54-Parameter!$C$28)))))</f>
        <v>0</v>
      </c>
      <c r="AP54" s="40" t="n">
        <f aca="false">AO54+IF(AO54&lt;=(Parameter!$C$30*Parameter!$C$57*F54),0,MIN(Parameter!$C$29*AO54,Parameter!$C$31*(AO54-(Parameter!$C$30*Parameter!$C$57*F54))))+Eingaben!$C$16*AO54</f>
        <v>0</v>
      </c>
      <c r="AQ54" s="40" t="n">
        <f aca="false">AB54-AP54</f>
        <v>0</v>
      </c>
      <c r="AR54" s="40" t="n">
        <f aca="false">MAX(0,AQ54-AK54)</f>
        <v>0</v>
      </c>
      <c r="AS54" s="40" t="n">
        <f aca="false">MIN(AH54,Parameter!$C$47)+AK54</f>
        <v>0</v>
      </c>
      <c r="AT54" s="40" t="n">
        <f aca="false">MAX(0,AH54-Parameter!$C$47)+AR53</f>
        <v>0</v>
      </c>
      <c r="AU54" s="40" t="n">
        <f aca="false">MAX(0,AG54-Parameter!$C$49)</f>
        <v>0</v>
      </c>
      <c r="AV54" s="40" t="n">
        <f aca="false">AG54</f>
        <v>0</v>
      </c>
      <c r="AW54" s="40" t="n">
        <f aca="false">IF(D54=0,AW53,AW53*(1+Parameter!$C$60)+P54*(1+Parameter!$C$60)^0.5)</f>
        <v>327329.147588884</v>
      </c>
      <c r="AX54" s="40" t="n">
        <f aca="false">IF(D54=0,AX53,AX53*(1+Parameter!$C$60)+Q54*(1+Parameter!$C$60)^0.5)</f>
        <v>0</v>
      </c>
      <c r="AY54" s="40" t="n">
        <f aca="false">IF(D54=0,AY53,AY53*(1+Parameter!$C$61)+AS54*(1+Parameter!$C$61)^0.5)</f>
        <v>155636.544221689</v>
      </c>
      <c r="AZ54" s="40" t="n">
        <f aca="false">IF(D54=0,AZ53,AZ53*(1+Parameter!$C$61)+AT54*(1+Parameter!$C$61)^0.5)</f>
        <v>62766.2683996872</v>
      </c>
      <c r="BA54" s="40" t="n">
        <f aca="false">IF(D54=0,BA53,BA53*(1+Parameter!$C$62)+AU54*(1+Parameter!$C$62)^0.5-BD54)</f>
        <v>0</v>
      </c>
      <c r="BB54" s="40" t="n">
        <f aca="false">IF(D54=0,BB53,BB53+AU54+BC54)</f>
        <v>0</v>
      </c>
      <c r="BC54" s="40" t="n">
        <f aca="false">MAX(0,MIN(BA53*(1+Parameter!$C$62)+AU54*(1+Parameter!$C$62)^0.5-BA53-AU54,BA53*Parameter!$C$39*Parameter!$C$40))</f>
        <v>0</v>
      </c>
      <c r="BD54" s="40" t="n">
        <f aca="false">MAX(0,BC54*(1-Parameter!$C$37)-Parameter!$C$67)*Parameter!$C$36</f>
        <v>0</v>
      </c>
      <c r="BE54" s="40" t="n">
        <f aca="false">IF(D54=0,BE53,BE53*(1+Parameter!$C$62)+AV54*(1+Parameter!$C$62)^0.5-BH54)</f>
        <v>167462.743358363</v>
      </c>
      <c r="BF54" s="40" t="n">
        <f aca="false">IF(D54=0,BF53,BF53+AV54+BG54)</f>
        <v>95281.8595308716</v>
      </c>
      <c r="BG54" s="40" t="n">
        <f aca="false">MAX(0,MIN(BE53*(1+Parameter!$C$62)+AV54*(1+Parameter!$C$62)^0.5-BE53-AV54,BE53*Parameter!$C$39*Parameter!$C$40))</f>
        <v>3751.16545122732</v>
      </c>
      <c r="BH54" s="40" t="n">
        <f aca="false">MAX(0,BG54*(1-Parameter!$C$37)-Parameter!$C$67)*Parameter!$C$36</f>
        <v>428.808921432844</v>
      </c>
      <c r="BI54" s="38" t="n">
        <f aca="false">R54/(Parameter!$C$8*E54)</f>
        <v>0</v>
      </c>
      <c r="BJ54" s="38" t="n">
        <f aca="false">BJ53+BI54</f>
        <v>1.59402433389804</v>
      </c>
    </row>
    <row r="55" customFormat="false" ht="15" hidden="false" customHeight="false" outlineLevel="0" collapsed="false">
      <c r="A55" s="32" t="n">
        <f aca="false">2026+47</f>
        <v>2073</v>
      </c>
      <c r="B55" s="32" t="n">
        <f aca="false">Eingaben!$C$5+47</f>
        <v>87</v>
      </c>
      <c r="C55" s="32" t="n">
        <f aca="false">IF(AND(B55&lt;Eingaben!$C$8,B55&lt;Eingaben!$C$6),1,0)</f>
        <v>0</v>
      </c>
      <c r="D55" s="32" t="n">
        <f aca="false">IF(B55&lt;Eingaben!$C$6,1,0)</f>
        <v>0</v>
      </c>
      <c r="E55" s="41" t="n">
        <f aca="false">(1+Eingaben!$C$13)^47</f>
        <v>3.19169713238384</v>
      </c>
      <c r="F55" s="41" t="n">
        <f aca="false">(1+Eingaben!$C$17)^47</f>
        <v>2.53634351519552</v>
      </c>
      <c r="G55" s="42" t="n">
        <f aca="false">IF(B55&gt;=Eingaben!$C$9,Eingaben!$C$10,1)</f>
        <v>0.6</v>
      </c>
      <c r="H55" s="43" t="n">
        <f aca="false">Eingaben!$C$12*E55*G55*C55</f>
        <v>0</v>
      </c>
      <c r="I55" s="43" t="n">
        <f aca="false">Parameter!$C$4*E55</f>
        <v>323638.089223721</v>
      </c>
      <c r="J55" s="43" t="n">
        <f aca="false">Parameter!$C$5*E55</f>
        <v>222620.874983773</v>
      </c>
      <c r="K55" s="43" t="n">
        <f aca="false">MIN(H55,12*(IF(Eingaben!$C$22=2,Umrechnung!$C$54,Eingaben!$C$23))*IF(Eingaben!$C$25=1,E55,1))*C55</f>
        <v>0</v>
      </c>
      <c r="L55" s="43" t="n">
        <f aca="false">MIN(K55,MAX(0,Parameter!$C$42*I55-N55))</f>
        <v>0</v>
      </c>
      <c r="M55" s="43" t="n">
        <f aca="false">MIN(K55,Parameter!$C$43*I55)</f>
        <v>0</v>
      </c>
      <c r="N55" s="43" t="n">
        <f aca="false">IF(Eingaben!$C$27=2,MIN(Eingaben!$C$26*K55,U55),Eingaben!$C$26*IF(Eingaben!$C$27=1,M55,K55))</f>
        <v>0</v>
      </c>
      <c r="O55" s="43" t="n">
        <f aca="false">K55+N55</f>
        <v>0</v>
      </c>
      <c r="P55" s="43" t="n">
        <f aca="false">MIN(O55,Parameter!$C$42*I55)</f>
        <v>0</v>
      </c>
      <c r="Q55" s="43" t="n">
        <f aca="false">O55-P55</f>
        <v>0</v>
      </c>
      <c r="R55" s="43" t="n">
        <f aca="false">MIN(H55,I55)-MIN(H55-M55,I55)</f>
        <v>0</v>
      </c>
      <c r="S55" s="43" t="n">
        <f aca="false">MIN(H55,J55)-MIN(H55-M55,J55)</f>
        <v>0</v>
      </c>
      <c r="T55" s="43" t="n">
        <f aca="false">R55*(Parameter!$C$10+Parameter!$C$11)+S55*((Parameter!$C$12+Parameter!$C$13)/2+Parameter!$C$58)</f>
        <v>0</v>
      </c>
      <c r="U55" s="43" t="n">
        <f aca="false">R55*(Parameter!$C$10+Parameter!$C$11)+S55*((Parameter!$C$12+Parameter!$C$13)/2+Parameter!$C$15)</f>
        <v>0</v>
      </c>
      <c r="V55" s="43" t="n">
        <f aca="false">MIN(H55,I55)*Parameter!$C$10+MIN(H55,J55)*(0.96*(Parameter!$C$12+Parameter!$C$13)/2+Parameter!$C$58)</f>
        <v>0</v>
      </c>
      <c r="W55" s="43" t="n">
        <f aca="false">MIN(H55-M55,I55)*Parameter!$C$10+MIN(H55-M55,J55)*(0.96*(Parameter!$C$12+Parameter!$C$13)/2+Parameter!$C$58)</f>
        <v>0</v>
      </c>
      <c r="X55" s="43" t="n">
        <f aca="false">MAX(0,H55-Parameter!$C$32*F55-Parameter!$C$33-V55)</f>
        <v>0</v>
      </c>
      <c r="Y55" s="43" t="n">
        <f aca="false">MAX(0,H55-L55-Parameter!$C$32*F55-Parameter!$C$33-W55)</f>
        <v>0</v>
      </c>
      <c r="Z55" s="43" t="n">
        <f aca="false">MAX(0,(X55+IF(Eingaben!$C$14=3,Eingaben!$C$15,0))/Parameter!$C$57/F55)</f>
        <v>0</v>
      </c>
      <c r="AA55" s="43" t="n">
        <f aca="false">Parameter!$C$57*F55*(IF(Z55&lt;=Parameter!$C$18,0,IF(Z55&lt;=Parameter!$C$19,(Parameter!$C$22*(Z55-Parameter!$C$18)/10000+Parameter!$C$23)*(Z55-Parameter!$C$18)/10000,IF(Z55&lt;=Parameter!$C$20,(Parameter!$C$24*(Z55-Parameter!$C$19)/10000+Parameter!$C$25)*(Z55-Parameter!$C$19)/10000+Parameter!$C$26,IF(Z55&lt;=Parameter!$C$21,0.42*Z55-Parameter!$C$27,0.45*Z55-Parameter!$C$28)))))</f>
        <v>0</v>
      </c>
      <c r="AB55" s="43" t="n">
        <f aca="false">AA55+IF(AA55&lt;=(Parameter!$C$30*Parameter!$C$57*F55),0,MIN(Parameter!$C$29*AA55,Parameter!$C$31*(AA55-(Parameter!$C$30*Parameter!$C$57*F55))))+Eingaben!$C$16*AA55</f>
        <v>0</v>
      </c>
      <c r="AC55" s="43" t="n">
        <f aca="false">MAX(0,(Y55+IF(Eingaben!$C$14=3,Eingaben!$C$15,0))/Parameter!$C$57/F55)</f>
        <v>0</v>
      </c>
      <c r="AD55" s="43" t="n">
        <f aca="false">Parameter!$C$57*F55*(IF(AC55&lt;=Parameter!$C$18,0,IF(AC55&lt;=Parameter!$C$19,(Parameter!$C$22*(AC55-Parameter!$C$18)/10000+Parameter!$C$23)*(AC55-Parameter!$C$18)/10000,IF(AC55&lt;=Parameter!$C$20,(Parameter!$C$24*(AC55-Parameter!$C$19)/10000+Parameter!$C$25)*(AC55-Parameter!$C$19)/10000+Parameter!$C$26,IF(AC55&lt;=Parameter!$C$21,0.42*AC55-Parameter!$C$27,0.45*AC55-Parameter!$C$28)))))</f>
        <v>0</v>
      </c>
      <c r="AE55" s="43" t="n">
        <f aca="false">AD55+IF(AD55&lt;=(Parameter!$C$30*Parameter!$C$57*F55),0,MIN(Parameter!$C$29*AD55,Parameter!$C$31*(AD55-(Parameter!$C$30*Parameter!$C$57*F55))))+Eingaben!$C$16*AD55</f>
        <v>0</v>
      </c>
      <c r="AF55" s="43" t="n">
        <f aca="false">AB55-AE55</f>
        <v>0</v>
      </c>
      <c r="AG55" s="43" t="n">
        <f aca="false">MAX(0,K55-T55-AF55)</f>
        <v>0</v>
      </c>
      <c r="AH55" s="43" t="n">
        <f aca="false">MIN(AG55,Parameter!$C$49)</f>
        <v>0</v>
      </c>
      <c r="AI55" s="43" t="n">
        <f aca="false">Parameter!$C$44*MIN(AH55,Parameter!$C$45)+Parameter!$C$46*MAX(0,MIN(AH55,Parameter!$C$47)-Parameter!$C$45)</f>
        <v>0</v>
      </c>
      <c r="AJ55" s="43" t="n">
        <f aca="false">MIN(AH55,Parameter!$C$48)*Eingaben!$C$18*IF(47&lt;Eingaben!$C$19,1,0)</f>
        <v>0</v>
      </c>
      <c r="AK55" s="43" t="n">
        <f aca="false">MIN(AI55+AJ55,MAX(0,Parameter!$C$49-AH55))</f>
        <v>0</v>
      </c>
      <c r="AL55" s="43" t="n">
        <f aca="false">MIN(MIN(AH55,Parameter!$C$47)+AK55,Parameter!$C$50)</f>
        <v>0</v>
      </c>
      <c r="AM55" s="43" t="n">
        <f aca="false">MAX(0,X55-AL55)</f>
        <v>0</v>
      </c>
      <c r="AN55" s="43" t="n">
        <f aca="false">MAX(0,(AM55+IF(Eingaben!$C$14=3,Eingaben!$C$15,0))/Parameter!$C$57/F55)</f>
        <v>0</v>
      </c>
      <c r="AO55" s="43" t="n">
        <f aca="false">Parameter!$C$57*F55*(IF(AN55&lt;=Parameter!$C$18,0,IF(AN55&lt;=Parameter!$C$19,(Parameter!$C$22*(AN55-Parameter!$C$18)/10000+Parameter!$C$23)*(AN55-Parameter!$C$18)/10000,IF(AN55&lt;=Parameter!$C$20,(Parameter!$C$24*(AN55-Parameter!$C$19)/10000+Parameter!$C$25)*(AN55-Parameter!$C$19)/10000+Parameter!$C$26,IF(AN55&lt;=Parameter!$C$21,0.42*AN55-Parameter!$C$27,0.45*AN55-Parameter!$C$28)))))</f>
        <v>0</v>
      </c>
      <c r="AP55" s="43" t="n">
        <f aca="false">AO55+IF(AO55&lt;=(Parameter!$C$30*Parameter!$C$57*F55),0,MIN(Parameter!$C$29*AO55,Parameter!$C$31*(AO55-(Parameter!$C$30*Parameter!$C$57*F55))))+Eingaben!$C$16*AO55</f>
        <v>0</v>
      </c>
      <c r="AQ55" s="43" t="n">
        <f aca="false">AB55-AP55</f>
        <v>0</v>
      </c>
      <c r="AR55" s="43" t="n">
        <f aca="false">MAX(0,AQ55-AK55)</f>
        <v>0</v>
      </c>
      <c r="AS55" s="43" t="n">
        <f aca="false">MIN(AH55,Parameter!$C$47)+AK55</f>
        <v>0</v>
      </c>
      <c r="AT55" s="43" t="n">
        <f aca="false">MAX(0,AH55-Parameter!$C$47)+AR54</f>
        <v>0</v>
      </c>
      <c r="AU55" s="43" t="n">
        <f aca="false">MAX(0,AG55-Parameter!$C$49)</f>
        <v>0</v>
      </c>
      <c r="AV55" s="43" t="n">
        <f aca="false">AG55</f>
        <v>0</v>
      </c>
      <c r="AW55" s="43" t="n">
        <f aca="false">IF(D55=0,AW54,AW54*(1+Parameter!$C$60)+P55*(1+Parameter!$C$60)^0.5)</f>
        <v>327329.147588884</v>
      </c>
      <c r="AX55" s="43" t="n">
        <f aca="false">IF(D55=0,AX54,AX54*(1+Parameter!$C$60)+Q55*(1+Parameter!$C$60)^0.5)</f>
        <v>0</v>
      </c>
      <c r="AY55" s="43" t="n">
        <f aca="false">IF(D55=0,AY54,AY54*(1+Parameter!$C$61)+AS55*(1+Parameter!$C$61)^0.5)</f>
        <v>155636.544221689</v>
      </c>
      <c r="AZ55" s="43" t="n">
        <f aca="false">IF(D55=0,AZ54,AZ54*(1+Parameter!$C$61)+AT55*(1+Parameter!$C$61)^0.5)</f>
        <v>62766.2683996872</v>
      </c>
      <c r="BA55" s="43" t="n">
        <f aca="false">IF(D55=0,BA54,BA54*(1+Parameter!$C$62)+AU55*(1+Parameter!$C$62)^0.5-BD55)</f>
        <v>0</v>
      </c>
      <c r="BB55" s="43" t="n">
        <f aca="false">IF(D55=0,BB54,BB54+AU55+BC55)</f>
        <v>0</v>
      </c>
      <c r="BC55" s="43" t="n">
        <f aca="false">MAX(0,MIN(BA54*(1+Parameter!$C$62)+AU55*(1+Parameter!$C$62)^0.5-BA54-AU55,BA54*Parameter!$C$39*Parameter!$C$40))</f>
        <v>0</v>
      </c>
      <c r="BD55" s="43" t="n">
        <f aca="false">MAX(0,BC55*(1-Parameter!$C$37)-Parameter!$C$67)*Parameter!$C$36</f>
        <v>0</v>
      </c>
      <c r="BE55" s="43" t="n">
        <f aca="false">IF(D55=0,BE54,BE54*(1+Parameter!$C$62)+AV55*(1+Parameter!$C$62)^0.5-BH55)</f>
        <v>167462.743358363</v>
      </c>
      <c r="BF55" s="43" t="n">
        <f aca="false">IF(D55=0,BF54,BF54+AV55+BG55)</f>
        <v>95281.8595308716</v>
      </c>
      <c r="BG55" s="43" t="n">
        <f aca="false">MAX(0,MIN(BE54*(1+Parameter!$C$62)+AV55*(1+Parameter!$C$62)^0.5-BE54-AV55,BE54*Parameter!$C$39*Parameter!$C$40))</f>
        <v>3751.16545122732</v>
      </c>
      <c r="BH55" s="43" t="n">
        <f aca="false">MAX(0,BG55*(1-Parameter!$C$37)-Parameter!$C$67)*Parameter!$C$36</f>
        <v>428.808921432844</v>
      </c>
      <c r="BI55" s="41" t="n">
        <f aca="false">R55/(Parameter!$C$8*E55)</f>
        <v>0</v>
      </c>
      <c r="BJ55" s="41" t="n">
        <f aca="false">BJ54+BI55</f>
        <v>1.59402433389804</v>
      </c>
    </row>
    <row r="56" customFormat="false" ht="15" hidden="false" customHeight="false" outlineLevel="0" collapsed="false">
      <c r="A56" s="30" t="n">
        <f aca="false">2026+48</f>
        <v>2074</v>
      </c>
      <c r="B56" s="30" t="n">
        <f aca="false">Eingaben!$C$5+48</f>
        <v>88</v>
      </c>
      <c r="C56" s="30" t="n">
        <f aca="false">IF(AND(B56&lt;Eingaben!$C$8,B56&lt;Eingaben!$C$6),1,0)</f>
        <v>0</v>
      </c>
      <c r="D56" s="30" t="n">
        <f aca="false">IF(B56&lt;Eingaben!$C$6,1,0)</f>
        <v>0</v>
      </c>
      <c r="E56" s="38" t="n">
        <f aca="false">(1+Eingaben!$C$13)^48</f>
        <v>3.27148956069343</v>
      </c>
      <c r="F56" s="38" t="n">
        <f aca="false">(1+Eingaben!$C$17)^48</f>
        <v>2.58707038549943</v>
      </c>
      <c r="G56" s="39" t="n">
        <f aca="false">IF(B56&gt;=Eingaben!$C$9,Eingaben!$C$10,1)</f>
        <v>0.6</v>
      </c>
      <c r="H56" s="40" t="n">
        <f aca="false">Eingaben!$C$12*E56*G56*C56</f>
        <v>0</v>
      </c>
      <c r="I56" s="40" t="n">
        <f aca="false">Parameter!$C$4*E56</f>
        <v>331729.041454314</v>
      </c>
      <c r="J56" s="40" t="n">
        <f aca="false">Parameter!$C$5*E56</f>
        <v>228186.396858367</v>
      </c>
      <c r="K56" s="40" t="n">
        <f aca="false">MIN(H56,12*(IF(Eingaben!$C$22=2,Umrechnung!$C$54,Eingaben!$C$23))*IF(Eingaben!$C$25=1,E56,1))*C56</f>
        <v>0</v>
      </c>
      <c r="L56" s="40" t="n">
        <f aca="false">MIN(K56,MAX(0,Parameter!$C$42*I56-N56))</f>
        <v>0</v>
      </c>
      <c r="M56" s="40" t="n">
        <f aca="false">MIN(K56,Parameter!$C$43*I56)</f>
        <v>0</v>
      </c>
      <c r="N56" s="40" t="n">
        <f aca="false">IF(Eingaben!$C$27=2,MIN(Eingaben!$C$26*K56,U56),Eingaben!$C$26*IF(Eingaben!$C$27=1,M56,K56))</f>
        <v>0</v>
      </c>
      <c r="O56" s="40" t="n">
        <f aca="false">K56+N56</f>
        <v>0</v>
      </c>
      <c r="P56" s="40" t="n">
        <f aca="false">MIN(O56,Parameter!$C$42*I56)</f>
        <v>0</v>
      </c>
      <c r="Q56" s="40" t="n">
        <f aca="false">O56-P56</f>
        <v>0</v>
      </c>
      <c r="R56" s="40" t="n">
        <f aca="false">MIN(H56,I56)-MIN(H56-M56,I56)</f>
        <v>0</v>
      </c>
      <c r="S56" s="40" t="n">
        <f aca="false">MIN(H56,J56)-MIN(H56-M56,J56)</f>
        <v>0</v>
      </c>
      <c r="T56" s="40" t="n">
        <f aca="false">R56*(Parameter!$C$10+Parameter!$C$11)+S56*((Parameter!$C$12+Parameter!$C$13)/2+Parameter!$C$58)</f>
        <v>0</v>
      </c>
      <c r="U56" s="40" t="n">
        <f aca="false">R56*(Parameter!$C$10+Parameter!$C$11)+S56*((Parameter!$C$12+Parameter!$C$13)/2+Parameter!$C$15)</f>
        <v>0</v>
      </c>
      <c r="V56" s="40" t="n">
        <f aca="false">MIN(H56,I56)*Parameter!$C$10+MIN(H56,J56)*(0.96*(Parameter!$C$12+Parameter!$C$13)/2+Parameter!$C$58)</f>
        <v>0</v>
      </c>
      <c r="W56" s="40" t="n">
        <f aca="false">MIN(H56-M56,I56)*Parameter!$C$10+MIN(H56-M56,J56)*(0.96*(Parameter!$C$12+Parameter!$C$13)/2+Parameter!$C$58)</f>
        <v>0</v>
      </c>
      <c r="X56" s="40" t="n">
        <f aca="false">MAX(0,H56-Parameter!$C$32*F56-Parameter!$C$33-V56)</f>
        <v>0</v>
      </c>
      <c r="Y56" s="40" t="n">
        <f aca="false">MAX(0,H56-L56-Parameter!$C$32*F56-Parameter!$C$33-W56)</f>
        <v>0</v>
      </c>
      <c r="Z56" s="40" t="n">
        <f aca="false">MAX(0,(X56+IF(Eingaben!$C$14=3,Eingaben!$C$15,0))/Parameter!$C$57/F56)</f>
        <v>0</v>
      </c>
      <c r="AA56" s="40" t="n">
        <f aca="false">Parameter!$C$57*F56*(IF(Z56&lt;=Parameter!$C$18,0,IF(Z56&lt;=Parameter!$C$19,(Parameter!$C$22*(Z56-Parameter!$C$18)/10000+Parameter!$C$23)*(Z56-Parameter!$C$18)/10000,IF(Z56&lt;=Parameter!$C$20,(Parameter!$C$24*(Z56-Parameter!$C$19)/10000+Parameter!$C$25)*(Z56-Parameter!$C$19)/10000+Parameter!$C$26,IF(Z56&lt;=Parameter!$C$21,0.42*Z56-Parameter!$C$27,0.45*Z56-Parameter!$C$28)))))</f>
        <v>0</v>
      </c>
      <c r="AB56" s="40" t="n">
        <f aca="false">AA56+IF(AA56&lt;=(Parameter!$C$30*Parameter!$C$57*F56),0,MIN(Parameter!$C$29*AA56,Parameter!$C$31*(AA56-(Parameter!$C$30*Parameter!$C$57*F56))))+Eingaben!$C$16*AA56</f>
        <v>0</v>
      </c>
      <c r="AC56" s="40" t="n">
        <f aca="false">MAX(0,(Y56+IF(Eingaben!$C$14=3,Eingaben!$C$15,0))/Parameter!$C$57/F56)</f>
        <v>0</v>
      </c>
      <c r="AD56" s="40" t="n">
        <f aca="false">Parameter!$C$57*F56*(IF(AC56&lt;=Parameter!$C$18,0,IF(AC56&lt;=Parameter!$C$19,(Parameter!$C$22*(AC56-Parameter!$C$18)/10000+Parameter!$C$23)*(AC56-Parameter!$C$18)/10000,IF(AC56&lt;=Parameter!$C$20,(Parameter!$C$24*(AC56-Parameter!$C$19)/10000+Parameter!$C$25)*(AC56-Parameter!$C$19)/10000+Parameter!$C$26,IF(AC56&lt;=Parameter!$C$21,0.42*AC56-Parameter!$C$27,0.45*AC56-Parameter!$C$28)))))</f>
        <v>0</v>
      </c>
      <c r="AE56" s="40" t="n">
        <f aca="false">AD56+IF(AD56&lt;=(Parameter!$C$30*Parameter!$C$57*F56),0,MIN(Parameter!$C$29*AD56,Parameter!$C$31*(AD56-(Parameter!$C$30*Parameter!$C$57*F56))))+Eingaben!$C$16*AD56</f>
        <v>0</v>
      </c>
      <c r="AF56" s="40" t="n">
        <f aca="false">AB56-AE56</f>
        <v>0</v>
      </c>
      <c r="AG56" s="40" t="n">
        <f aca="false">MAX(0,K56-T56-AF56)</f>
        <v>0</v>
      </c>
      <c r="AH56" s="40" t="n">
        <f aca="false">MIN(AG56,Parameter!$C$49)</f>
        <v>0</v>
      </c>
      <c r="AI56" s="40" t="n">
        <f aca="false">Parameter!$C$44*MIN(AH56,Parameter!$C$45)+Parameter!$C$46*MAX(0,MIN(AH56,Parameter!$C$47)-Parameter!$C$45)</f>
        <v>0</v>
      </c>
      <c r="AJ56" s="40" t="n">
        <f aca="false">MIN(AH56,Parameter!$C$48)*Eingaben!$C$18*IF(48&lt;Eingaben!$C$19,1,0)</f>
        <v>0</v>
      </c>
      <c r="AK56" s="40" t="n">
        <f aca="false">MIN(AI56+AJ56,MAX(0,Parameter!$C$49-AH56))</f>
        <v>0</v>
      </c>
      <c r="AL56" s="40" t="n">
        <f aca="false">MIN(MIN(AH56,Parameter!$C$47)+AK56,Parameter!$C$50)</f>
        <v>0</v>
      </c>
      <c r="AM56" s="40" t="n">
        <f aca="false">MAX(0,X56-AL56)</f>
        <v>0</v>
      </c>
      <c r="AN56" s="40" t="n">
        <f aca="false">MAX(0,(AM56+IF(Eingaben!$C$14=3,Eingaben!$C$15,0))/Parameter!$C$57/F56)</f>
        <v>0</v>
      </c>
      <c r="AO56" s="40" t="n">
        <f aca="false">Parameter!$C$57*F56*(IF(AN56&lt;=Parameter!$C$18,0,IF(AN56&lt;=Parameter!$C$19,(Parameter!$C$22*(AN56-Parameter!$C$18)/10000+Parameter!$C$23)*(AN56-Parameter!$C$18)/10000,IF(AN56&lt;=Parameter!$C$20,(Parameter!$C$24*(AN56-Parameter!$C$19)/10000+Parameter!$C$25)*(AN56-Parameter!$C$19)/10000+Parameter!$C$26,IF(AN56&lt;=Parameter!$C$21,0.42*AN56-Parameter!$C$27,0.45*AN56-Parameter!$C$28)))))</f>
        <v>0</v>
      </c>
      <c r="AP56" s="40" t="n">
        <f aca="false">AO56+IF(AO56&lt;=(Parameter!$C$30*Parameter!$C$57*F56),0,MIN(Parameter!$C$29*AO56,Parameter!$C$31*(AO56-(Parameter!$C$30*Parameter!$C$57*F56))))+Eingaben!$C$16*AO56</f>
        <v>0</v>
      </c>
      <c r="AQ56" s="40" t="n">
        <f aca="false">AB56-AP56</f>
        <v>0</v>
      </c>
      <c r="AR56" s="40" t="n">
        <f aca="false">MAX(0,AQ56-AK56)</f>
        <v>0</v>
      </c>
      <c r="AS56" s="40" t="n">
        <f aca="false">MIN(AH56,Parameter!$C$47)+AK56</f>
        <v>0</v>
      </c>
      <c r="AT56" s="40" t="n">
        <f aca="false">MAX(0,AH56-Parameter!$C$47)+AR55</f>
        <v>0</v>
      </c>
      <c r="AU56" s="40" t="n">
        <f aca="false">MAX(0,AG56-Parameter!$C$49)</f>
        <v>0</v>
      </c>
      <c r="AV56" s="40" t="n">
        <f aca="false">AG56</f>
        <v>0</v>
      </c>
      <c r="AW56" s="40" t="n">
        <f aca="false">IF(D56=0,AW55,AW55*(1+Parameter!$C$60)+P56*(1+Parameter!$C$60)^0.5)</f>
        <v>327329.147588884</v>
      </c>
      <c r="AX56" s="40" t="n">
        <f aca="false">IF(D56=0,AX55,AX55*(1+Parameter!$C$60)+Q56*(1+Parameter!$C$60)^0.5)</f>
        <v>0</v>
      </c>
      <c r="AY56" s="40" t="n">
        <f aca="false">IF(D56=0,AY55,AY55*(1+Parameter!$C$61)+AS56*(1+Parameter!$C$61)^0.5)</f>
        <v>155636.544221689</v>
      </c>
      <c r="AZ56" s="40" t="n">
        <f aca="false">IF(D56=0,AZ55,AZ55*(1+Parameter!$C$61)+AT56*(1+Parameter!$C$61)^0.5)</f>
        <v>62766.2683996872</v>
      </c>
      <c r="BA56" s="40" t="n">
        <f aca="false">IF(D56=0,BA55,BA55*(1+Parameter!$C$62)+AU56*(1+Parameter!$C$62)^0.5-BD56)</f>
        <v>0</v>
      </c>
      <c r="BB56" s="40" t="n">
        <f aca="false">IF(D56=0,BB55,BB55+AU56+BC56)</f>
        <v>0</v>
      </c>
      <c r="BC56" s="40" t="n">
        <f aca="false">MAX(0,MIN(BA55*(1+Parameter!$C$62)+AU56*(1+Parameter!$C$62)^0.5-BA55-AU56,BA55*Parameter!$C$39*Parameter!$C$40))</f>
        <v>0</v>
      </c>
      <c r="BD56" s="40" t="n">
        <f aca="false">MAX(0,BC56*(1-Parameter!$C$37)-Parameter!$C$67)*Parameter!$C$36</f>
        <v>0</v>
      </c>
      <c r="BE56" s="40" t="n">
        <f aca="false">IF(D56=0,BE55,BE55*(1+Parameter!$C$62)+AV56*(1+Parameter!$C$62)^0.5-BH56)</f>
        <v>167462.743358363</v>
      </c>
      <c r="BF56" s="40" t="n">
        <f aca="false">IF(D56=0,BF55,BF55+AV56+BG56)</f>
        <v>95281.8595308716</v>
      </c>
      <c r="BG56" s="40" t="n">
        <f aca="false">MAX(0,MIN(BE55*(1+Parameter!$C$62)+AV56*(1+Parameter!$C$62)^0.5-BE55-AV56,BE55*Parameter!$C$39*Parameter!$C$40))</f>
        <v>3751.16545122732</v>
      </c>
      <c r="BH56" s="40" t="n">
        <f aca="false">MAX(0,BG56*(1-Parameter!$C$37)-Parameter!$C$67)*Parameter!$C$36</f>
        <v>428.808921432844</v>
      </c>
      <c r="BI56" s="38" t="n">
        <f aca="false">R56/(Parameter!$C$8*E56)</f>
        <v>0</v>
      </c>
      <c r="BJ56" s="38" t="n">
        <f aca="false">BJ55+BI56</f>
        <v>1.59402433389804</v>
      </c>
    </row>
    <row r="57" customFormat="false" ht="15" hidden="false" customHeight="false" outlineLevel="0" collapsed="false">
      <c r="A57" s="32" t="n">
        <f aca="false">2026+49</f>
        <v>2075</v>
      </c>
      <c r="B57" s="32" t="n">
        <f aca="false">Eingaben!$C$5+49</f>
        <v>89</v>
      </c>
      <c r="C57" s="32" t="n">
        <f aca="false">IF(AND(B57&lt;Eingaben!$C$8,B57&lt;Eingaben!$C$6),1,0)</f>
        <v>0</v>
      </c>
      <c r="D57" s="32" t="n">
        <f aca="false">IF(B57&lt;Eingaben!$C$6,1,0)</f>
        <v>0</v>
      </c>
      <c r="E57" s="41" t="n">
        <f aca="false">(1+Eingaben!$C$13)^49</f>
        <v>3.35327679971077</v>
      </c>
      <c r="F57" s="41" t="n">
        <f aca="false">(1+Eingaben!$C$17)^49</f>
        <v>2.63881179320942</v>
      </c>
      <c r="G57" s="42" t="n">
        <f aca="false">IF(B57&gt;=Eingaben!$C$9,Eingaben!$C$10,1)</f>
        <v>0.6</v>
      </c>
      <c r="H57" s="43" t="n">
        <f aca="false">Eingaben!$C$12*E57*G57*C57</f>
        <v>0</v>
      </c>
      <c r="I57" s="43" t="n">
        <f aca="false">Parameter!$C$4*E57</f>
        <v>340022.267490672</v>
      </c>
      <c r="J57" s="43" t="n">
        <f aca="false">Parameter!$C$5*E57</f>
        <v>233891.056779826</v>
      </c>
      <c r="K57" s="43" t="n">
        <f aca="false">MIN(H57,12*(IF(Eingaben!$C$22=2,Umrechnung!$C$54,Eingaben!$C$23))*IF(Eingaben!$C$25=1,E57,1))*C57</f>
        <v>0</v>
      </c>
      <c r="L57" s="43" t="n">
        <f aca="false">MIN(K57,MAX(0,Parameter!$C$42*I57-N57))</f>
        <v>0</v>
      </c>
      <c r="M57" s="43" t="n">
        <f aca="false">MIN(K57,Parameter!$C$43*I57)</f>
        <v>0</v>
      </c>
      <c r="N57" s="43" t="n">
        <f aca="false">IF(Eingaben!$C$27=2,MIN(Eingaben!$C$26*K57,U57),Eingaben!$C$26*IF(Eingaben!$C$27=1,M57,K57))</f>
        <v>0</v>
      </c>
      <c r="O57" s="43" t="n">
        <f aca="false">K57+N57</f>
        <v>0</v>
      </c>
      <c r="P57" s="43" t="n">
        <f aca="false">MIN(O57,Parameter!$C$42*I57)</f>
        <v>0</v>
      </c>
      <c r="Q57" s="43" t="n">
        <f aca="false">O57-P57</f>
        <v>0</v>
      </c>
      <c r="R57" s="43" t="n">
        <f aca="false">MIN(H57,I57)-MIN(H57-M57,I57)</f>
        <v>0</v>
      </c>
      <c r="S57" s="43" t="n">
        <f aca="false">MIN(H57,J57)-MIN(H57-M57,J57)</f>
        <v>0</v>
      </c>
      <c r="T57" s="43" t="n">
        <f aca="false">R57*(Parameter!$C$10+Parameter!$C$11)+S57*((Parameter!$C$12+Parameter!$C$13)/2+Parameter!$C$58)</f>
        <v>0</v>
      </c>
      <c r="U57" s="43" t="n">
        <f aca="false">R57*(Parameter!$C$10+Parameter!$C$11)+S57*((Parameter!$C$12+Parameter!$C$13)/2+Parameter!$C$15)</f>
        <v>0</v>
      </c>
      <c r="V57" s="43" t="n">
        <f aca="false">MIN(H57,I57)*Parameter!$C$10+MIN(H57,J57)*(0.96*(Parameter!$C$12+Parameter!$C$13)/2+Parameter!$C$58)</f>
        <v>0</v>
      </c>
      <c r="W57" s="43" t="n">
        <f aca="false">MIN(H57-M57,I57)*Parameter!$C$10+MIN(H57-M57,J57)*(0.96*(Parameter!$C$12+Parameter!$C$13)/2+Parameter!$C$58)</f>
        <v>0</v>
      </c>
      <c r="X57" s="43" t="n">
        <f aca="false">MAX(0,H57-Parameter!$C$32*F57-Parameter!$C$33-V57)</f>
        <v>0</v>
      </c>
      <c r="Y57" s="43" t="n">
        <f aca="false">MAX(0,H57-L57-Parameter!$C$32*F57-Parameter!$C$33-W57)</f>
        <v>0</v>
      </c>
      <c r="Z57" s="43" t="n">
        <f aca="false">MAX(0,(X57+IF(Eingaben!$C$14=3,Eingaben!$C$15,0))/Parameter!$C$57/F57)</f>
        <v>0</v>
      </c>
      <c r="AA57" s="43" t="n">
        <f aca="false">Parameter!$C$57*F57*(IF(Z57&lt;=Parameter!$C$18,0,IF(Z57&lt;=Parameter!$C$19,(Parameter!$C$22*(Z57-Parameter!$C$18)/10000+Parameter!$C$23)*(Z57-Parameter!$C$18)/10000,IF(Z57&lt;=Parameter!$C$20,(Parameter!$C$24*(Z57-Parameter!$C$19)/10000+Parameter!$C$25)*(Z57-Parameter!$C$19)/10000+Parameter!$C$26,IF(Z57&lt;=Parameter!$C$21,0.42*Z57-Parameter!$C$27,0.45*Z57-Parameter!$C$28)))))</f>
        <v>0</v>
      </c>
      <c r="AB57" s="43" t="n">
        <f aca="false">AA57+IF(AA57&lt;=(Parameter!$C$30*Parameter!$C$57*F57),0,MIN(Parameter!$C$29*AA57,Parameter!$C$31*(AA57-(Parameter!$C$30*Parameter!$C$57*F57))))+Eingaben!$C$16*AA57</f>
        <v>0</v>
      </c>
      <c r="AC57" s="43" t="n">
        <f aca="false">MAX(0,(Y57+IF(Eingaben!$C$14=3,Eingaben!$C$15,0))/Parameter!$C$57/F57)</f>
        <v>0</v>
      </c>
      <c r="AD57" s="43" t="n">
        <f aca="false">Parameter!$C$57*F57*(IF(AC57&lt;=Parameter!$C$18,0,IF(AC57&lt;=Parameter!$C$19,(Parameter!$C$22*(AC57-Parameter!$C$18)/10000+Parameter!$C$23)*(AC57-Parameter!$C$18)/10000,IF(AC57&lt;=Parameter!$C$20,(Parameter!$C$24*(AC57-Parameter!$C$19)/10000+Parameter!$C$25)*(AC57-Parameter!$C$19)/10000+Parameter!$C$26,IF(AC57&lt;=Parameter!$C$21,0.42*AC57-Parameter!$C$27,0.45*AC57-Parameter!$C$28)))))</f>
        <v>0</v>
      </c>
      <c r="AE57" s="43" t="n">
        <f aca="false">AD57+IF(AD57&lt;=(Parameter!$C$30*Parameter!$C$57*F57),0,MIN(Parameter!$C$29*AD57,Parameter!$C$31*(AD57-(Parameter!$C$30*Parameter!$C$57*F57))))+Eingaben!$C$16*AD57</f>
        <v>0</v>
      </c>
      <c r="AF57" s="43" t="n">
        <f aca="false">AB57-AE57</f>
        <v>0</v>
      </c>
      <c r="AG57" s="43" t="n">
        <f aca="false">MAX(0,K57-T57-AF57)</f>
        <v>0</v>
      </c>
      <c r="AH57" s="43" t="n">
        <f aca="false">MIN(AG57,Parameter!$C$49)</f>
        <v>0</v>
      </c>
      <c r="AI57" s="43" t="n">
        <f aca="false">Parameter!$C$44*MIN(AH57,Parameter!$C$45)+Parameter!$C$46*MAX(0,MIN(AH57,Parameter!$C$47)-Parameter!$C$45)</f>
        <v>0</v>
      </c>
      <c r="AJ57" s="43" t="n">
        <f aca="false">MIN(AH57,Parameter!$C$48)*Eingaben!$C$18*IF(49&lt;Eingaben!$C$19,1,0)</f>
        <v>0</v>
      </c>
      <c r="AK57" s="43" t="n">
        <f aca="false">MIN(AI57+AJ57,MAX(0,Parameter!$C$49-AH57))</f>
        <v>0</v>
      </c>
      <c r="AL57" s="43" t="n">
        <f aca="false">MIN(MIN(AH57,Parameter!$C$47)+AK57,Parameter!$C$50)</f>
        <v>0</v>
      </c>
      <c r="AM57" s="43" t="n">
        <f aca="false">MAX(0,X57-AL57)</f>
        <v>0</v>
      </c>
      <c r="AN57" s="43" t="n">
        <f aca="false">MAX(0,(AM57+IF(Eingaben!$C$14=3,Eingaben!$C$15,0))/Parameter!$C$57/F57)</f>
        <v>0</v>
      </c>
      <c r="AO57" s="43" t="n">
        <f aca="false">Parameter!$C$57*F57*(IF(AN57&lt;=Parameter!$C$18,0,IF(AN57&lt;=Parameter!$C$19,(Parameter!$C$22*(AN57-Parameter!$C$18)/10000+Parameter!$C$23)*(AN57-Parameter!$C$18)/10000,IF(AN57&lt;=Parameter!$C$20,(Parameter!$C$24*(AN57-Parameter!$C$19)/10000+Parameter!$C$25)*(AN57-Parameter!$C$19)/10000+Parameter!$C$26,IF(AN57&lt;=Parameter!$C$21,0.42*AN57-Parameter!$C$27,0.45*AN57-Parameter!$C$28)))))</f>
        <v>0</v>
      </c>
      <c r="AP57" s="43" t="n">
        <f aca="false">AO57+IF(AO57&lt;=(Parameter!$C$30*Parameter!$C$57*F57),0,MIN(Parameter!$C$29*AO57,Parameter!$C$31*(AO57-(Parameter!$C$30*Parameter!$C$57*F57))))+Eingaben!$C$16*AO57</f>
        <v>0</v>
      </c>
      <c r="AQ57" s="43" t="n">
        <f aca="false">AB57-AP57</f>
        <v>0</v>
      </c>
      <c r="AR57" s="43" t="n">
        <f aca="false">MAX(0,AQ57-AK57)</f>
        <v>0</v>
      </c>
      <c r="AS57" s="43" t="n">
        <f aca="false">MIN(AH57,Parameter!$C$47)+AK57</f>
        <v>0</v>
      </c>
      <c r="AT57" s="43" t="n">
        <f aca="false">MAX(0,AH57-Parameter!$C$47)+AR56</f>
        <v>0</v>
      </c>
      <c r="AU57" s="43" t="n">
        <f aca="false">MAX(0,AG57-Parameter!$C$49)</f>
        <v>0</v>
      </c>
      <c r="AV57" s="43" t="n">
        <f aca="false">AG57</f>
        <v>0</v>
      </c>
      <c r="AW57" s="43" t="n">
        <f aca="false">IF(D57=0,AW56,AW56*(1+Parameter!$C$60)+P57*(1+Parameter!$C$60)^0.5)</f>
        <v>327329.147588884</v>
      </c>
      <c r="AX57" s="43" t="n">
        <f aca="false">IF(D57=0,AX56,AX56*(1+Parameter!$C$60)+Q57*(1+Parameter!$C$60)^0.5)</f>
        <v>0</v>
      </c>
      <c r="AY57" s="43" t="n">
        <f aca="false">IF(D57=0,AY56,AY56*(1+Parameter!$C$61)+AS57*(1+Parameter!$C$61)^0.5)</f>
        <v>155636.544221689</v>
      </c>
      <c r="AZ57" s="43" t="n">
        <f aca="false">IF(D57=0,AZ56,AZ56*(1+Parameter!$C$61)+AT57*(1+Parameter!$C$61)^0.5)</f>
        <v>62766.2683996872</v>
      </c>
      <c r="BA57" s="43" t="n">
        <f aca="false">IF(D57=0,BA56,BA56*(1+Parameter!$C$62)+AU57*(1+Parameter!$C$62)^0.5-BD57)</f>
        <v>0</v>
      </c>
      <c r="BB57" s="43" t="n">
        <f aca="false">IF(D57=0,BB56,BB56+AU57+BC57)</f>
        <v>0</v>
      </c>
      <c r="BC57" s="43" t="n">
        <f aca="false">MAX(0,MIN(BA56*(1+Parameter!$C$62)+AU57*(1+Parameter!$C$62)^0.5-BA56-AU57,BA56*Parameter!$C$39*Parameter!$C$40))</f>
        <v>0</v>
      </c>
      <c r="BD57" s="43" t="n">
        <f aca="false">MAX(0,BC57*(1-Parameter!$C$37)-Parameter!$C$67)*Parameter!$C$36</f>
        <v>0</v>
      </c>
      <c r="BE57" s="43" t="n">
        <f aca="false">IF(D57=0,BE56,BE56*(1+Parameter!$C$62)+AV57*(1+Parameter!$C$62)^0.5-BH57)</f>
        <v>167462.743358363</v>
      </c>
      <c r="BF57" s="43" t="n">
        <f aca="false">IF(D57=0,BF56,BF56+AV57+BG57)</f>
        <v>95281.8595308716</v>
      </c>
      <c r="BG57" s="43" t="n">
        <f aca="false">MAX(0,MIN(BE56*(1+Parameter!$C$62)+AV57*(1+Parameter!$C$62)^0.5-BE56-AV57,BE56*Parameter!$C$39*Parameter!$C$40))</f>
        <v>3751.16545122732</v>
      </c>
      <c r="BH57" s="43" t="n">
        <f aca="false">MAX(0,BG57*(1-Parameter!$C$37)-Parameter!$C$67)*Parameter!$C$36</f>
        <v>428.808921432844</v>
      </c>
      <c r="BI57" s="41" t="n">
        <f aca="false">R57/(Parameter!$C$8*E57)</f>
        <v>0</v>
      </c>
      <c r="BJ57" s="41" t="n">
        <f aca="false">BJ56+BI57</f>
        <v>1.59402433389804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G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8"/>
    <col collapsed="false" customWidth="true" hidden="false" outlineLevel="0" max="2" min="2" style="0" width="7"/>
    <col collapsed="false" customWidth="true" hidden="false" outlineLevel="0" max="5" min="3" style="0" width="8"/>
    <col collapsed="false" customWidth="true" hidden="false" outlineLevel="0" max="6" min="6" style="0" width="6"/>
    <col collapsed="false" customWidth="true" hidden="false" outlineLevel="0" max="10" min="7" style="0" width="11"/>
    <col collapsed="false" customWidth="true" hidden="false" outlineLevel="0" max="17" min="11" style="0" width="12"/>
    <col collapsed="false" customWidth="true" hidden="false" outlineLevel="0" max="20" min="18" style="0" width="11"/>
    <col collapsed="false" customWidth="true" hidden="false" outlineLevel="0" max="21" min="21" style="0" width="12"/>
    <col collapsed="false" customWidth="true" hidden="false" outlineLevel="0" max="22" min="22" style="0" width="13"/>
    <col collapsed="false" customWidth="true" hidden="false" outlineLevel="0" max="23" min="23" style="0" width="12"/>
    <col collapsed="false" customWidth="true" hidden="false" outlineLevel="0" max="27" min="24" style="0" width="11"/>
    <col collapsed="false" customWidth="true" hidden="false" outlineLevel="0" max="28" min="28" style="0" width="12"/>
    <col collapsed="false" customWidth="true" hidden="false" outlineLevel="0" max="31" min="29" style="0" width="11"/>
    <col collapsed="false" customWidth="true" hidden="false" outlineLevel="0" max="32" min="32" style="0" width="12"/>
    <col collapsed="false" customWidth="true" hidden="false" outlineLevel="0" max="33" min="33" style="0" width="13"/>
    <col collapsed="false" customWidth="true" hidden="false" outlineLevel="0" max="34" min="34" style="0" width="12"/>
    <col collapsed="false" customWidth="true" hidden="false" outlineLevel="0" max="35" min="35" style="0" width="11"/>
    <col collapsed="false" customWidth="true" hidden="false" outlineLevel="0" max="36" min="36" style="0" width="12"/>
    <col collapsed="false" customWidth="true" hidden="false" outlineLevel="0" max="40" min="37" style="0" width="11"/>
    <col collapsed="false" customWidth="true" hidden="false" outlineLevel="0" max="41" min="41" style="0" width="12"/>
    <col collapsed="false" customWidth="true" hidden="false" outlineLevel="0" max="45" min="42" style="0" width="11"/>
    <col collapsed="false" customWidth="true" hidden="false" outlineLevel="0" max="46" min="46" style="0" width="13"/>
    <col collapsed="false" customWidth="true" hidden="false" outlineLevel="0" max="50" min="47" style="0" width="12"/>
    <col collapsed="false" customWidth="true" hidden="false" outlineLevel="0" max="51" min="51" style="0" width="11"/>
    <col collapsed="false" customWidth="true" hidden="false" outlineLevel="0" max="52" min="52" style="0" width="13"/>
    <col collapsed="false" customWidth="true" hidden="false" outlineLevel="0" max="53" min="53" style="0" width="9"/>
    <col collapsed="false" customWidth="true" hidden="false" outlineLevel="0" max="54" min="54" style="0" width="14"/>
    <col collapsed="false" customWidth="true" hidden="false" outlineLevel="0" max="55" min="55" style="0" width="12"/>
  </cols>
  <sheetData>
    <row r="1" customFormat="false" ht="17.35" hidden="false" customHeight="false" outlineLevel="0" collapsed="false">
      <c r="A1" s="1" t="s">
        <v>541</v>
      </c>
    </row>
    <row r="2" customFormat="false" ht="15" hidden="false" customHeight="false" outlineLevel="0" collapsed="false">
      <c r="A2" s="36" t="s">
        <v>542</v>
      </c>
    </row>
    <row r="4" customFormat="false" ht="15" hidden="false" customHeight="false" outlineLevel="0" collapsed="false">
      <c r="CE4" s="13" t="s">
        <v>543</v>
      </c>
      <c r="CG4" s="44" t="n">
        <f aca="false">IF(Parameter!$C$61=0,1/Parameter!$C$64,Parameter!$C$61/(1-(1+Parameter!$C$61)^(-Parameter!$C$64)))</f>
        <v>0.0931557517297562</v>
      </c>
    </row>
    <row r="5" customFormat="false" ht="15" hidden="false" customHeight="false" outlineLevel="0" collapsed="false">
      <c r="CE5" s="13" t="s">
        <v>544</v>
      </c>
      <c r="CG5" s="44" t="n">
        <f aca="false">IF(Parameter!$C$62=0,1/Parameter!$C$64,Parameter!$C$62/(1-(1+Parameter!$C$62)^(-Parameter!$C$64)))</f>
        <v>0.0953067363182164</v>
      </c>
    </row>
    <row r="7" customFormat="false" ht="39.75" hidden="false" customHeight="true" outlineLevel="0" collapsed="false">
      <c r="A7" s="37" t="s">
        <v>479</v>
      </c>
      <c r="B7" s="37" t="s">
        <v>480</v>
      </c>
      <c r="C7" s="37" t="s">
        <v>545</v>
      </c>
      <c r="D7" s="37" t="s">
        <v>484</v>
      </c>
      <c r="E7" s="37" t="s">
        <v>483</v>
      </c>
      <c r="F7" s="37" t="s">
        <v>546</v>
      </c>
      <c r="G7" s="37" t="s">
        <v>547</v>
      </c>
      <c r="H7" s="37" t="s">
        <v>548</v>
      </c>
      <c r="I7" s="37" t="s">
        <v>549</v>
      </c>
      <c r="J7" s="37" t="s">
        <v>550</v>
      </c>
      <c r="K7" s="37" t="s">
        <v>551</v>
      </c>
      <c r="L7" s="37" t="s">
        <v>552</v>
      </c>
      <c r="M7" s="37" t="s">
        <v>553</v>
      </c>
      <c r="N7" s="37" t="s">
        <v>554</v>
      </c>
      <c r="O7" s="37" t="s">
        <v>555</v>
      </c>
      <c r="P7" s="37" t="s">
        <v>556</v>
      </c>
      <c r="Q7" s="37" t="s">
        <v>557</v>
      </c>
      <c r="R7" s="37" t="s">
        <v>558</v>
      </c>
      <c r="S7" s="37" t="s">
        <v>559</v>
      </c>
      <c r="T7" s="37" t="s">
        <v>560</v>
      </c>
      <c r="U7" s="37" t="s">
        <v>561</v>
      </c>
      <c r="V7" s="37" t="s">
        <v>562</v>
      </c>
      <c r="W7" s="37" t="s">
        <v>563</v>
      </c>
      <c r="X7" s="37" t="s">
        <v>564</v>
      </c>
      <c r="Y7" s="37" t="s">
        <v>565</v>
      </c>
      <c r="Z7" s="37" t="s">
        <v>566</v>
      </c>
      <c r="AA7" s="37" t="s">
        <v>567</v>
      </c>
      <c r="AB7" s="37" t="s">
        <v>568</v>
      </c>
      <c r="AC7" s="37" t="s">
        <v>569</v>
      </c>
      <c r="AD7" s="37" t="s">
        <v>570</v>
      </c>
      <c r="AE7" s="37" t="s">
        <v>571</v>
      </c>
      <c r="AF7" s="37" t="s">
        <v>572</v>
      </c>
      <c r="AG7" s="37" t="s">
        <v>573</v>
      </c>
      <c r="AH7" s="37" t="s">
        <v>574</v>
      </c>
      <c r="AI7" s="37" t="s">
        <v>575</v>
      </c>
      <c r="AJ7" s="37" t="s">
        <v>576</v>
      </c>
      <c r="AK7" s="37" t="s">
        <v>577</v>
      </c>
      <c r="AL7" s="37" t="s">
        <v>578</v>
      </c>
      <c r="AM7" s="37" t="s">
        <v>579</v>
      </c>
      <c r="AN7" s="37" t="s">
        <v>580</v>
      </c>
      <c r="AO7" s="37" t="s">
        <v>581</v>
      </c>
      <c r="AP7" s="37" t="s">
        <v>582</v>
      </c>
      <c r="AQ7" s="37" t="s">
        <v>518</v>
      </c>
      <c r="AR7" s="37" t="s">
        <v>519</v>
      </c>
      <c r="AS7" s="37" t="s">
        <v>520</v>
      </c>
      <c r="AT7" s="37" t="s">
        <v>583</v>
      </c>
      <c r="AU7" s="37" t="s">
        <v>584</v>
      </c>
      <c r="AV7" s="37" t="s">
        <v>585</v>
      </c>
      <c r="AW7" s="37" t="s">
        <v>586</v>
      </c>
      <c r="AX7" s="37" t="s">
        <v>587</v>
      </c>
      <c r="AY7" s="37" t="s">
        <v>588</v>
      </c>
      <c r="AZ7" s="37" t="s">
        <v>589</v>
      </c>
      <c r="BA7" s="37" t="s">
        <v>590</v>
      </c>
      <c r="BB7" s="37" t="s">
        <v>591</v>
      </c>
      <c r="BC7" s="37" t="s">
        <v>592</v>
      </c>
      <c r="CE7" s="13" t="s">
        <v>593</v>
      </c>
      <c r="CG7" s="45" t="n">
        <f aca="false">SUM(Ansparphase!$AT$8:$AT$57)</f>
        <v>25369.0584665399</v>
      </c>
    </row>
    <row r="8" customFormat="false" ht="15" hidden="false" customHeight="false" outlineLevel="0" collapsed="false">
      <c r="A8" s="30" t="n">
        <f aca="false">2026+C8</f>
        <v>2053</v>
      </c>
      <c r="B8" s="30" t="n">
        <f aca="false">Eingaben!$C$6+0</f>
        <v>67</v>
      </c>
      <c r="C8" s="30" t="n">
        <f aca="false">B8-Eingaben!$C$5</f>
        <v>27</v>
      </c>
      <c r="D8" s="38" t="n">
        <f aca="false">(1+Eingaben!$C$17)^C8</f>
        <v>1.70688647664111</v>
      </c>
      <c r="E8" s="38" t="n">
        <f aca="false">(1+Eingaben!$C$13)^C8</f>
        <v>1.94780001829971</v>
      </c>
      <c r="F8" s="30" t="n">
        <f aca="false">IF(B8&lt;=Eingaben!$C$7,1,0)</f>
        <v>1</v>
      </c>
      <c r="G8" s="40" t="n">
        <f aca="false">Eingaben!$C$40*(1+Eingaben!$C$37)^C8</f>
        <v>37551.5024861043</v>
      </c>
      <c r="H8" s="40" t="n">
        <f aca="false">MAX(0,(G8+IF(Eingaben!$C$14=3,Eingaben!$C$15,0))/Parameter!$C$57/D8)</f>
        <v>22000</v>
      </c>
      <c r="I8" s="40" t="n">
        <f aca="false">Parameter!$C$57*D8*(IF(H8&lt;=Parameter!$C$18,0,IF(H8&lt;=Parameter!$C$19,(Parameter!$C$22*(H8-Parameter!$C$18)/10000+Parameter!$C$23)*(H8-Parameter!$C$18)/10000,IF(H8&lt;=Parameter!$C$20,(Parameter!$C$24*(H8-Parameter!$C$19)/10000+Parameter!$C$25)*(H8-Parameter!$C$19)/10000+Parameter!$C$26,IF(H8&lt;=Parameter!$C$21,0.42*H8-Parameter!$C$27,0.45*H8-Parameter!$C$28)))))</f>
        <v>3537.34996749284</v>
      </c>
      <c r="J8" s="40" t="n">
        <f aca="false">I8+IF(I8&lt;=(Parameter!$C$30*Parameter!$C$57*D8),0,MIN(Parameter!$C$29*I8,Parameter!$C$31*(I8-(Parameter!$C$30*Parameter!$C$57*D8))))+Eingaben!$C$16*I8</f>
        <v>3537.34996749284</v>
      </c>
      <c r="K8" s="40" t="n">
        <f aca="false">IF(Eingaben!$C$28=1,IF(1=1,Ansparphase!$AW$57,0),(Ansparphase!$AW$57+Ansparphase!$AX$57)*Eingaben!$C$29/10000*12*(1+Eingaben!$C$30)^0*F8*IF((Ansparphase!$AW$57+Ansparphase!$AX$57)=0,0,Ansparphase!$AW$57/(Ansparphase!$AW$57+Ansparphase!$AX$57)))</f>
        <v>327329.147588884</v>
      </c>
      <c r="L8" s="40" t="n">
        <f aca="false">IF(Eingaben!$C$28=1,IF(1=1,Ansparphase!$AX$57,0),(Ansparphase!$AW$57+Ansparphase!$AX$57)*Eingaben!$C$29/10000*12*(1+Eingaben!$C$30)^0*F8*IF((Ansparphase!$AW$57+Ansparphase!$AX$57)=0,0,Ansparphase!$AX$57/(Ansparphase!$AW$57+Ansparphase!$AX$57)))</f>
        <v>0</v>
      </c>
      <c r="M8" s="40" t="n">
        <f aca="false">K8+L8</f>
        <v>327329.147588884</v>
      </c>
      <c r="N8" s="40" t="n">
        <f aca="false">K8+L8*IF(Eingaben!$C$28=1,(1-IF(Ansparphase!$AX$57=0,1,MIN(1,$CG$8/Ansparphase!$AX$57)))*Parameter!$C$52,Parameter!$C$51)</f>
        <v>327329.147588884</v>
      </c>
      <c r="O8" s="40" t="n">
        <f aca="false">IF(Eingaben!$C$28=1,IF(0&lt;10,(Ansparphase!$AW$57+Ansparphase!$AX$57)/120,0),M8/12)</f>
        <v>2727.74289657404</v>
      </c>
      <c r="P8" s="40" t="n">
        <f aca="false">Eingaben!$C$41/12*(1+Eingaben!$C$13)^C8</f>
        <v>3895.60003659942</v>
      </c>
      <c r="Q8" s="40" t="n">
        <f aca="false">MAX(0,MIN(O8,Parameter!$C$5/12*E8-P8))</f>
        <v>2727.74289657404</v>
      </c>
      <c r="R8" s="40" t="n">
        <f aca="false">IF(Eingaben!$C$39=2,0,MAX(0,Q8-Parameter!$C$7*E8)*Parameter!$C$54*12)</f>
        <v>4919.38743020607</v>
      </c>
      <c r="S8" s="40" t="n">
        <f aca="false">IF(Eingaben!$C$39=2,0,IF(O8&gt;Parameter!$C$7*E8,Q8*Parameter!$C$59*12,0))</f>
        <v>1178.38493131998</v>
      </c>
      <c r="T8" s="40" t="n">
        <f aca="false">R8+S8</f>
        <v>6097.77236152605</v>
      </c>
      <c r="U8" s="40" t="n">
        <f aca="false">Ansparphase!$BJ$57*Parameter!$C$9*12*(1+Eingaben!$C$13)^(Eingaben!$C$6-Eingaben!$C$5)*(1+Eingaben!$C$13)^0*F8</f>
        <v>1584.21388138618</v>
      </c>
      <c r="V8" s="40" t="n">
        <f aca="false">U8*Parameter!$C$66</f>
        <v>1544.60853435153</v>
      </c>
      <c r="W8" s="40" t="n">
        <f aca="false">IF(Eingaben!$C$39=2,0,U8*(Parameter!$C$53+Parameter!$C$59))</f>
        <v>195.650414351193</v>
      </c>
      <c r="X8" s="40" t="n">
        <f aca="false">MAX(0,G8-V8+N8-T8+W8)</f>
        <v>357433.919593462</v>
      </c>
      <c r="Y8" s="40" t="n">
        <f aca="false">MAX(0,(X8+IF(Eingaben!$C$14=3,Eingaben!$C$15,0))/Parameter!$C$57/D8)</f>
        <v>209406.966711013</v>
      </c>
      <c r="Z8" s="40" t="n">
        <f aca="false">Parameter!$C$57*D8*(IF(Y8&lt;=Parameter!$C$18,0,IF(Y8&lt;=Parameter!$C$19,(Parameter!$C$22*(Y8-Parameter!$C$18)/10000+Parameter!$C$23)*(Y8-Parameter!$C$18)/10000,IF(Y8&lt;=Parameter!$C$20,(Parameter!$C$24*(Y8-Parameter!$C$19)/10000+Parameter!$C$25)*(Y8-Parameter!$C$19)/10000+Parameter!$C$26,IF(Y8&lt;=Parameter!$C$21,0.42*Y8-Parameter!$C$27,0.45*Y8-Parameter!$C$28)))))</f>
        <v>131114.989973375</v>
      </c>
      <c r="AA8" s="40" t="n">
        <f aca="false">Z8+IF(Z8&lt;=(Parameter!$C$30*Parameter!$C$57*D8),0,MIN(Parameter!$C$29*Z8,Parameter!$C$31*(Z8-(Parameter!$C$30*Parameter!$C$57*D8))))+Eingaben!$C$16*Z8</f>
        <v>138326.314421911</v>
      </c>
      <c r="AB8" s="40" t="n">
        <f aca="false">MAX(0,G8-V8+N8/5-T8+W8)</f>
        <v>95570.6015223548</v>
      </c>
      <c r="AC8" s="40" t="n">
        <f aca="false">MAX(0,(AB8+IF(Eingaben!$C$14=3,Eingaben!$C$15,0))/Parameter!$C$57/D8)</f>
        <v>55991.1879496657</v>
      </c>
      <c r="AD8" s="40" t="n">
        <f aca="false">Parameter!$C$57*D8*(IF(AC8&lt;=Parameter!$C$18,0,IF(AC8&lt;=Parameter!$C$19,(Parameter!$C$22*(AC8-Parameter!$C$18)/10000+Parameter!$C$23)*(AC8-Parameter!$C$18)/10000,IF(AC8&lt;=Parameter!$C$20,(Parameter!$C$24*(AC8-Parameter!$C$19)/10000+Parameter!$C$25)*(AC8-Parameter!$C$19)/10000+Parameter!$C$26,IF(AC8&lt;=Parameter!$C$21,0.42*AC8-Parameter!$C$27,0.45*AC8-Parameter!$C$28)))))</f>
        <v>21702.1208273495</v>
      </c>
      <c r="AE8" s="40" t="n">
        <f aca="false">AD8+IF(AD8&lt;=(Parameter!$C$30*Parameter!$C$57*D8),0,MIN(Parameter!$C$29*AD8,Parameter!$C$31*(AD8-(Parameter!$C$30*Parameter!$C$57*D8))))+Eingaben!$C$16*AD8</f>
        <v>21702.1208273495</v>
      </c>
      <c r="AF8" s="40" t="n">
        <f aca="false">IF(AND(Eingaben!$C$31=1,Eingaben!$C$28=1,M8&gt;0),MIN(AA8-J8,5*(AE8-J8)),AA8-J8)</f>
        <v>134788.964454418</v>
      </c>
      <c r="AG8" s="40" t="n">
        <f aca="false">M8-T8-AF8-U8+W8</f>
        <v>185053.847305905</v>
      </c>
      <c r="AH8" s="40" t="n">
        <f aca="false">Ansparphase!$AY$57</f>
        <v>155636.544221689</v>
      </c>
      <c r="AI8" s="40" t="n">
        <f aca="false">IF(F8=0,0,MIN(AH8,Ansparphase!$AY$57*IF(0=0,Eingaben!$C$42,0)+(Ansparphase!$AY$57*(1-Eingaben!$C$42))*$CG$4))</f>
        <v>14498.4392735929</v>
      </c>
      <c r="AJ8" s="40" t="n">
        <f aca="false">Ansparphase!$AZ$57</f>
        <v>62766.2683996872</v>
      </c>
      <c r="AK8" s="40" t="n">
        <f aca="false">IF(F8=0,0,MIN(AJ8,Ansparphase!$AZ$57*IF(0=0,Eingaben!$C$42,0)+(Ansparphase!$AZ$57*(1-Eingaben!$C$42))*$CG$4))</f>
        <v>5847.03891604451</v>
      </c>
      <c r="AL8" s="40" t="n">
        <f aca="false">Ansparphase!$BA$57</f>
        <v>0</v>
      </c>
      <c r="AM8" s="40" t="n">
        <f aca="false">IF(F8=0,0,MIN(AL8,Ansparphase!$BA$57*$CG$5))</f>
        <v>0</v>
      </c>
      <c r="AN8" s="40" t="n">
        <f aca="false">MAX(0,AM8*(1-IF(Ansparphase!$BA$57=0,1,MIN(1,Ansparphase!$BB$57/Ansparphase!$BA$57)))*(1-Parameter!$C$37))*Parameter!$C$36</f>
        <v>0</v>
      </c>
      <c r="AO8" s="40" t="n">
        <f aca="false">AI8+AK8*(1-IF(Ansparphase!$AZ$57=0,1,MIN(1,$CG$7/Ansparphase!$AZ$57)))*Parameter!$C$52</f>
        <v>16240.3218755518</v>
      </c>
      <c r="AP8" s="40" t="n">
        <f aca="false">MAX(0,G8+AO8)</f>
        <v>53791.8243616562</v>
      </c>
      <c r="AQ8" s="40" t="n">
        <f aca="false">MAX(0,(AP8+IF(Eingaben!$C$14=3,Eingaben!$C$15,0))/Parameter!$C$57/D8)</f>
        <v>31514.5881684588</v>
      </c>
      <c r="AR8" s="40" t="n">
        <f aca="false">Parameter!$C$57*D8*(IF(AQ8&lt;=Parameter!$C$18,0,IF(AQ8&lt;=Parameter!$C$19,(Parameter!$C$22*(AQ8-Parameter!$C$18)/10000+Parameter!$C$23)*(AQ8-Parameter!$C$18)/10000,IF(AQ8&lt;=Parameter!$C$20,(Parameter!$C$24*(AQ8-Parameter!$C$19)/10000+Parameter!$C$25)*(AQ8-Parameter!$C$19)/10000+Parameter!$C$26,IF(AQ8&lt;=Parameter!$C$21,0.42*AQ8-Parameter!$C$27,0.45*AQ8-Parameter!$C$28)))))</f>
        <v>7933.82619688912</v>
      </c>
      <c r="AS8" s="40" t="n">
        <f aca="false">AR8+IF(AR8&lt;=(Parameter!$C$30*Parameter!$C$57*D8),0,MIN(Parameter!$C$29*AR8,Parameter!$C$31*(AR8-(Parameter!$C$30*Parameter!$C$57*D8))))+Eingaben!$C$16*AR8</f>
        <v>7933.82619688912</v>
      </c>
      <c r="AT8" s="40" t="n">
        <f aca="false">AI8+AK8-(AS8-J8)+AM8-AN8</f>
        <v>15949.0019602411</v>
      </c>
      <c r="AU8" s="40" t="n">
        <f aca="false">Ansparphase!$BE$57</f>
        <v>167462.743358363</v>
      </c>
      <c r="AV8" s="40" t="n">
        <f aca="false">Ansparphase!$BF$57</f>
        <v>95281.8595308716</v>
      </c>
      <c r="AW8" s="40" t="n">
        <f aca="false">IF(F8=0,0,MIN(AU8,Ansparphase!$BE$57*$CG$5))</f>
        <v>15960.3275243806</v>
      </c>
      <c r="AX8" s="40" t="n">
        <f aca="false">AW8-IF(AU8=0,0,AV8*AW8/AU8)</f>
        <v>6879.3244621625</v>
      </c>
      <c r="AY8" s="40" t="n">
        <f aca="false">MAX(0,AX8*(1-Parameter!$C$37)-Parameter!$C$67)*Parameter!$C$36</f>
        <v>1006.34527882675</v>
      </c>
      <c r="AZ8" s="40" t="n">
        <f aca="false">AW8-AY8</f>
        <v>14953.9822455539</v>
      </c>
      <c r="BA8" s="38" t="n">
        <f aca="false">1/(1+Eingaben!$C$37)^C8</f>
        <v>0.585862043952594</v>
      </c>
      <c r="BB8" s="40" t="n">
        <f aca="false">IF(AND(Eingaben!$C$28=2,F8=0),(Ansparphase!$AW$57+Ansparphase!$AX$57)*Eingaben!$C$29/10000*12*(1+Eingaben!$C$30)^0,0)</f>
        <v>0</v>
      </c>
      <c r="BC8" s="38" t="n">
        <f aca="false">1/(1+Parameter!$C$68)^0</f>
        <v>1</v>
      </c>
      <c r="CE8" s="13" t="s">
        <v>594</v>
      </c>
      <c r="CG8" s="45" t="n">
        <f aca="false">SUM(Ansparphase!$Q$8:$Q$57)</f>
        <v>0</v>
      </c>
    </row>
    <row r="9" customFormat="false" ht="15" hidden="false" customHeight="false" outlineLevel="0" collapsed="false">
      <c r="A9" s="32" t="n">
        <f aca="false">2026+C9</f>
        <v>2054</v>
      </c>
      <c r="B9" s="32" t="n">
        <f aca="false">Eingaben!$C$6+1</f>
        <v>68</v>
      </c>
      <c r="C9" s="32" t="n">
        <f aca="false">B9-Eingaben!$C$5</f>
        <v>28</v>
      </c>
      <c r="D9" s="41" t="n">
        <f aca="false">(1+Eingaben!$C$17)^C9</f>
        <v>1.74102420617393</v>
      </c>
      <c r="E9" s="41" t="n">
        <f aca="false">(1+Eingaben!$C$13)^C9</f>
        <v>1.9964950187572</v>
      </c>
      <c r="F9" s="32" t="n">
        <f aca="false">IF(B9&lt;=Eingaben!$C$7,1,0)</f>
        <v>1</v>
      </c>
      <c r="G9" s="43" t="n">
        <f aca="false">Eingaben!$C$40*(1+Eingaben!$C$37)^C9</f>
        <v>38302.5325358264</v>
      </c>
      <c r="H9" s="43" t="n">
        <f aca="false">MAX(0,(G9+IF(Eingaben!$C$14=3,Eingaben!$C$15,0))/Parameter!$C$57/D9)</f>
        <v>22000</v>
      </c>
      <c r="I9" s="43" t="n">
        <f aca="false">Parameter!$C$57*D9*(IF(H9&lt;=Parameter!$C$18,0,IF(H9&lt;=Parameter!$C$19,(Parameter!$C$22*(H9-Parameter!$C$18)/10000+Parameter!$C$23)*(H9-Parameter!$C$18)/10000,IF(H9&lt;=Parameter!$C$20,(Parameter!$C$24*(H9-Parameter!$C$19)/10000+Parameter!$C$25)*(H9-Parameter!$C$19)/10000+Parameter!$C$26,IF(H9&lt;=Parameter!$C$21,0.42*H9-Parameter!$C$27,0.45*H9-Parameter!$C$28)))))</f>
        <v>3608.0969668427</v>
      </c>
      <c r="J9" s="43" t="n">
        <f aca="false">I9+IF(I9&lt;=(Parameter!$C$30*Parameter!$C$57*D9),0,MIN(Parameter!$C$29*I9,Parameter!$C$31*(I9-(Parameter!$C$30*Parameter!$C$57*D9))))+Eingaben!$C$16*I9</f>
        <v>3608.0969668427</v>
      </c>
      <c r="K9" s="43" t="n">
        <f aca="false">IF(Eingaben!$C$28=1,IF(0=1,Ansparphase!$AW$57,0),(Ansparphase!$AW$57+Ansparphase!$AX$57)*Eingaben!$C$29/10000*12*(1+Eingaben!$C$30)^1*F9*IF((Ansparphase!$AW$57+Ansparphase!$AX$57)=0,0,Ansparphase!$AW$57/(Ansparphase!$AW$57+Ansparphase!$AX$57)))</f>
        <v>0</v>
      </c>
      <c r="L9" s="43" t="n">
        <f aca="false">IF(Eingaben!$C$28=1,IF(0=1,Ansparphase!$AX$57,0),(Ansparphase!$AW$57+Ansparphase!$AX$57)*Eingaben!$C$29/10000*12*(1+Eingaben!$C$30)^1*F9*IF((Ansparphase!$AW$57+Ansparphase!$AX$57)=0,0,Ansparphase!$AX$57/(Ansparphase!$AW$57+Ansparphase!$AX$57)))</f>
        <v>0</v>
      </c>
      <c r="M9" s="43" t="n">
        <f aca="false">K9+L9</f>
        <v>0</v>
      </c>
      <c r="N9" s="43" t="n">
        <f aca="false">K9+L9*IF(Eingaben!$C$28=1,(1-IF(Ansparphase!$AX$57=0,1,MIN(1,$CG$8/Ansparphase!$AX$57)))*Parameter!$C$52,Parameter!$C$51)</f>
        <v>0</v>
      </c>
      <c r="O9" s="43" t="n">
        <f aca="false">IF(Eingaben!$C$28=1,IF(1&lt;10,(Ansparphase!$AW$57+Ansparphase!$AX$57)/120,0),M9/12)</f>
        <v>2727.74289657404</v>
      </c>
      <c r="P9" s="43" t="n">
        <f aca="false">Eingaben!$C$41/12*(1+Eingaben!$C$13)^C9</f>
        <v>3992.99003751441</v>
      </c>
      <c r="Q9" s="43" t="n">
        <f aca="false">MAX(0,MIN(O9,Parameter!$C$5/12*E9-P9))</f>
        <v>2727.74289657404</v>
      </c>
      <c r="R9" s="43" t="n">
        <f aca="false">IF(Eingaben!$C$39=2,0,MAX(0,Q9-Parameter!$C$7*E9)*Parameter!$C$54*12)</f>
        <v>4899.16561389108</v>
      </c>
      <c r="S9" s="43" t="n">
        <f aca="false">IF(Eingaben!$C$39=2,0,IF(O9&gt;Parameter!$C$7*E9,Q9*Parameter!$C$59*12,0))</f>
        <v>1178.38493131998</v>
      </c>
      <c r="T9" s="43" t="n">
        <f aca="false">R9+S9</f>
        <v>6077.55054521107</v>
      </c>
      <c r="U9" s="43" t="n">
        <f aca="false">Ansparphase!$BJ$57*Parameter!$C$9*12*(1+Eingaben!$C$13)^(Eingaben!$C$6-Eingaben!$C$5)*(1+Eingaben!$C$13)^1*F9</f>
        <v>1623.81922842084</v>
      </c>
      <c r="V9" s="43" t="n">
        <f aca="false">U9*Parameter!$C$66</f>
        <v>1583.22374771031</v>
      </c>
      <c r="W9" s="43" t="n">
        <f aca="false">IF(Eingaben!$C$39=2,0,U9*(Parameter!$C$53+Parameter!$C$59))</f>
        <v>200.541674709973</v>
      </c>
      <c r="X9" s="43" t="n">
        <f aca="false">MAX(0,G9-V9+N9-T9+W9)</f>
        <v>30842.299917615</v>
      </c>
      <c r="Y9" s="43" t="n">
        <f aca="false">MAX(0,(X9+IF(Eingaben!$C$14=3,Eingaben!$C$15,0))/Parameter!$C$57/D9)</f>
        <v>17715.0322254244</v>
      </c>
      <c r="Z9" s="43" t="n">
        <f aca="false">Parameter!$C$57*D9*(IF(Y9&lt;=Parameter!$C$18,0,IF(Y9&lt;=Parameter!$C$19,(Parameter!$C$22*(Y9-Parameter!$C$18)/10000+Parameter!$C$23)*(Y9-Parameter!$C$18)/10000,IF(Y9&lt;=Parameter!$C$20,(Parameter!$C$24*(Y9-Parameter!$C$19)/10000+Parameter!$C$25)*(Y9-Parameter!$C$19)/10000+Parameter!$C$26,IF(Y9&lt;=Parameter!$C$21,0.42*Y9-Parameter!$C$27,0.45*Y9-Parameter!$C$28)))))</f>
        <v>1766.80779325787</v>
      </c>
      <c r="AA9" s="43" t="n">
        <f aca="false">Z9+IF(Z9&lt;=(Parameter!$C$30*Parameter!$C$57*D9),0,MIN(Parameter!$C$29*Z9,Parameter!$C$31*(Z9-(Parameter!$C$30*Parameter!$C$57*D9))))+Eingaben!$C$16*Z9</f>
        <v>1766.80779325787</v>
      </c>
      <c r="AB9" s="43" t="n">
        <f aca="false">MAX(0,G9-V9+N9/5-T9+W9)</f>
        <v>30842.299917615</v>
      </c>
      <c r="AC9" s="43" t="n">
        <f aca="false">MAX(0,(AB9+IF(Eingaben!$C$14=3,Eingaben!$C$15,0))/Parameter!$C$57/D9)</f>
        <v>17715.0322254244</v>
      </c>
      <c r="AD9" s="43" t="n">
        <f aca="false">Parameter!$C$57*D9*(IF(AC9&lt;=Parameter!$C$18,0,IF(AC9&lt;=Parameter!$C$19,(Parameter!$C$22*(AC9-Parameter!$C$18)/10000+Parameter!$C$23)*(AC9-Parameter!$C$18)/10000,IF(AC9&lt;=Parameter!$C$20,(Parameter!$C$24*(AC9-Parameter!$C$19)/10000+Parameter!$C$25)*(AC9-Parameter!$C$19)/10000+Parameter!$C$26,IF(AC9&lt;=Parameter!$C$21,0.42*AC9-Parameter!$C$27,0.45*AC9-Parameter!$C$28)))))</f>
        <v>1766.80779325787</v>
      </c>
      <c r="AE9" s="43" t="n">
        <f aca="false">AD9+IF(AD9&lt;=(Parameter!$C$30*Parameter!$C$57*D9),0,MIN(Parameter!$C$29*AD9,Parameter!$C$31*(AD9-(Parameter!$C$30*Parameter!$C$57*D9))))+Eingaben!$C$16*AD9</f>
        <v>1766.80779325787</v>
      </c>
      <c r="AF9" s="43" t="n">
        <f aca="false">IF(AND(Eingaben!$C$31=1,Eingaben!$C$28=1,M9&gt;0),MIN(AA9-J9,5*(AE9-J9)),AA9-J9)</f>
        <v>-1841.28917358483</v>
      </c>
      <c r="AG9" s="43" t="n">
        <f aca="false">M9-T9-AF9-U9+W9</f>
        <v>-5659.5389253371</v>
      </c>
      <c r="AH9" s="43" t="n">
        <f aca="false">MAX(0,(AH8-AI8)*(1+Parameter!$C$61))</f>
        <v>150312.081769723</v>
      </c>
      <c r="AI9" s="43" t="n">
        <f aca="false">IF(F9=0,0,MIN(AH9,Ansparphase!$AY$57*IF(1=0,Eingaben!$C$42,0)+(Ansparphase!$AY$57*(1-Eingaben!$C$42))*$CG$4))</f>
        <v>14498.4392735929</v>
      </c>
      <c r="AJ9" s="43" t="n">
        <f aca="false">MAX(0,(AJ8-AK8)*(1+Parameter!$C$61))</f>
        <v>60618.9794000795</v>
      </c>
      <c r="AK9" s="43" t="n">
        <f aca="false">IF(F9=0,0,MIN(AJ9,Ansparphase!$AZ$57*IF(1=0,Eingaben!$C$42,0)+(Ansparphase!$AZ$57*(1-Eingaben!$C$42))*$CG$4))</f>
        <v>5847.03891604451</v>
      </c>
      <c r="AL9" s="43" t="n">
        <f aca="false">MAX(0,(AL8-AM8)*(1+Parameter!$C$62))</f>
        <v>0</v>
      </c>
      <c r="AM9" s="43" t="n">
        <f aca="false">IF(F9=0,0,MIN(AL9,Ansparphase!$BA$57*$CG$5))</f>
        <v>0</v>
      </c>
      <c r="AN9" s="43" t="n">
        <f aca="false">MAX(0,AM9*(1-IF(Ansparphase!$BA$57=0,1,MIN(1,Ansparphase!$BB$57/Ansparphase!$BA$57)))*(1-Parameter!$C$37))*Parameter!$C$36</f>
        <v>0</v>
      </c>
      <c r="AO9" s="43" t="n">
        <f aca="false">AI9+AK9*(1-IF(Ansparphase!$AZ$57=0,1,MIN(1,$CG$7/Ansparphase!$AZ$57)))*Parameter!$C$52</f>
        <v>16240.3218755518</v>
      </c>
      <c r="AP9" s="43" t="n">
        <f aca="false">MAX(0,G9+AO9)</f>
        <v>54542.8544113783</v>
      </c>
      <c r="AQ9" s="43" t="n">
        <f aca="false">MAX(0,(AP9+IF(Eingaben!$C$14=3,Eingaben!$C$15,0))/Parameter!$C$57/D9)</f>
        <v>31328.0276161361</v>
      </c>
      <c r="AR9" s="43" t="n">
        <f aca="false">Parameter!$C$57*D9*(IF(AQ9&lt;=Parameter!$C$18,0,IF(AQ9&lt;=Parameter!$C$19,(Parameter!$C$22*(AQ9-Parameter!$C$18)/10000+Parameter!$C$23)*(AQ9-Parameter!$C$18)/10000,IF(AQ9&lt;=Parameter!$C$20,(Parameter!$C$24*(AQ9-Parameter!$C$19)/10000+Parameter!$C$25)*(AQ9-Parameter!$C$19)/10000+Parameter!$C$26,IF(AQ9&lt;=Parameter!$C$21,0.42*AQ9-Parameter!$C$27,0.45*AQ9-Parameter!$C$28)))))</f>
        <v>7999.32860652068</v>
      </c>
      <c r="AS9" s="43" t="n">
        <f aca="false">AR9+IF(AR9&lt;=(Parameter!$C$30*Parameter!$C$57*D9),0,MIN(Parameter!$C$29*AR9,Parameter!$C$31*(AR9-(Parameter!$C$30*Parameter!$C$57*D9))))+Eingaben!$C$16*AR9</f>
        <v>7999.32860652068</v>
      </c>
      <c r="AT9" s="43" t="n">
        <f aca="false">AI9+AK9-(AS9-J9)+AM9-AN9</f>
        <v>15954.2465499594</v>
      </c>
      <c r="AU9" s="43" t="n">
        <f aca="false">MAX(0,(AU8-AW8)*(1+Parameter!$C$62))</f>
        <v>161804.580110693</v>
      </c>
      <c r="AV9" s="43" t="n">
        <f aca="false">MAX(0,AV8-AV8*IF(AU8=0,0,AW8/AU8))</f>
        <v>86200.8564686535</v>
      </c>
      <c r="AW9" s="43" t="n">
        <f aca="false">IF(F9=0,0,MIN(AU9,Ansparphase!$BE$57*$CG$5))</f>
        <v>15960.3275243806</v>
      </c>
      <c r="AX9" s="43" t="n">
        <f aca="false">AW9-IF(AU9=0,0,AV9*AW9/AU9)</f>
        <v>7457.51566837115</v>
      </c>
      <c r="AY9" s="43" t="n">
        <f aca="false">MAX(0,AX9*(1-Parameter!$C$37)-Parameter!$C$67)*Parameter!$C$36</f>
        <v>1113.09383027302</v>
      </c>
      <c r="AZ9" s="43" t="n">
        <f aca="false">AW9-AY9</f>
        <v>14847.2336941076</v>
      </c>
      <c r="BA9" s="41" t="n">
        <f aca="false">1/(1+Eingaben!$C$37)^C9</f>
        <v>0.5743745528947</v>
      </c>
      <c r="BB9" s="43" t="n">
        <f aca="false">IF(AND(Eingaben!$C$28=2,F9=0),(Ansparphase!$AW$57+Ansparphase!$AX$57)*Eingaben!$C$29/10000*12*(1+Eingaben!$C$30)^1,0)</f>
        <v>0</v>
      </c>
      <c r="BC9" s="41" t="n">
        <f aca="false">1/(1+Parameter!$C$68)^1</f>
        <v>0.947467206975633</v>
      </c>
    </row>
    <row r="10" customFormat="false" ht="15" hidden="false" customHeight="false" outlineLevel="0" collapsed="false">
      <c r="A10" s="30" t="n">
        <f aca="false">2026+C10</f>
        <v>2055</v>
      </c>
      <c r="B10" s="30" t="n">
        <f aca="false">Eingaben!$C$6+2</f>
        <v>69</v>
      </c>
      <c r="C10" s="30" t="n">
        <f aca="false">B10-Eingaben!$C$5</f>
        <v>29</v>
      </c>
      <c r="D10" s="38" t="n">
        <f aca="false">(1+Eingaben!$C$17)^C10</f>
        <v>1.77584469029741</v>
      </c>
      <c r="E10" s="38" t="n">
        <f aca="false">(1+Eingaben!$C$13)^C10</f>
        <v>2.04640739422613</v>
      </c>
      <c r="F10" s="30" t="n">
        <f aca="false">IF(B10&lt;=Eingaben!$C$7,1,0)</f>
        <v>1</v>
      </c>
      <c r="G10" s="40" t="n">
        <f aca="false">Eingaben!$C$40*(1+Eingaben!$C$37)^C10</f>
        <v>39068.5831865429</v>
      </c>
      <c r="H10" s="40" t="n">
        <f aca="false">MAX(0,(G10+IF(Eingaben!$C$14=3,Eingaben!$C$15,0))/Parameter!$C$57/D10)</f>
        <v>22000</v>
      </c>
      <c r="I10" s="40" t="n">
        <f aca="false">Parameter!$C$57*D10*(IF(H10&lt;=Parameter!$C$18,0,IF(H10&lt;=Parameter!$C$19,(Parameter!$C$22*(H10-Parameter!$C$18)/10000+Parameter!$C$23)*(H10-Parameter!$C$18)/10000,IF(H10&lt;=Parameter!$C$20,(Parameter!$C$24*(H10-Parameter!$C$19)/10000+Parameter!$C$25)*(H10-Parameter!$C$19)/10000+Parameter!$C$26,IF(H10&lt;=Parameter!$C$21,0.42*H10-Parameter!$C$27,0.45*H10-Parameter!$C$28)))))</f>
        <v>3680.25890617956</v>
      </c>
      <c r="J10" s="40" t="n">
        <f aca="false">I10+IF(I10&lt;=(Parameter!$C$30*Parameter!$C$57*D10),0,MIN(Parameter!$C$29*I10,Parameter!$C$31*(I10-(Parameter!$C$30*Parameter!$C$57*D10))))+Eingaben!$C$16*I10</f>
        <v>3680.25890617956</v>
      </c>
      <c r="K10" s="40" t="n">
        <f aca="false">IF(Eingaben!$C$28=1,IF(0=1,Ansparphase!$AW$57,0),(Ansparphase!$AW$57+Ansparphase!$AX$57)*Eingaben!$C$29/10000*12*(1+Eingaben!$C$30)^2*F10*IF((Ansparphase!$AW$57+Ansparphase!$AX$57)=0,0,Ansparphase!$AW$57/(Ansparphase!$AW$57+Ansparphase!$AX$57)))</f>
        <v>0</v>
      </c>
      <c r="L10" s="40" t="n">
        <f aca="false">IF(Eingaben!$C$28=1,IF(0=1,Ansparphase!$AX$57,0),(Ansparphase!$AW$57+Ansparphase!$AX$57)*Eingaben!$C$29/10000*12*(1+Eingaben!$C$30)^2*F10*IF((Ansparphase!$AW$57+Ansparphase!$AX$57)=0,0,Ansparphase!$AX$57/(Ansparphase!$AW$57+Ansparphase!$AX$57)))</f>
        <v>0</v>
      </c>
      <c r="M10" s="40" t="n">
        <f aca="false">K10+L10</f>
        <v>0</v>
      </c>
      <c r="N10" s="40" t="n">
        <f aca="false">K10+L10*IF(Eingaben!$C$28=1,(1-IF(Ansparphase!$AX$57=0,1,MIN(1,$CG$8/Ansparphase!$AX$57)))*Parameter!$C$52,Parameter!$C$51)</f>
        <v>0</v>
      </c>
      <c r="O10" s="40" t="n">
        <f aca="false">IF(Eingaben!$C$28=1,IF(2&lt;10,(Ansparphase!$AW$57+Ansparphase!$AX$57)/120,0),M10/12)</f>
        <v>2727.74289657404</v>
      </c>
      <c r="P10" s="40" t="n">
        <f aca="false">Eingaben!$C$41/12*(1+Eingaben!$C$13)^C10</f>
        <v>4092.81478845227</v>
      </c>
      <c r="Q10" s="40" t="n">
        <f aca="false">MAX(0,MIN(O10,Parameter!$C$5/12*E10-P10))</f>
        <v>2727.74289657404</v>
      </c>
      <c r="R10" s="40" t="n">
        <f aca="false">IF(Eingaben!$C$39=2,0,MAX(0,Q10-Parameter!$C$7*E10)*Parameter!$C$54*12)</f>
        <v>4878.43825216822</v>
      </c>
      <c r="S10" s="40" t="n">
        <f aca="false">IF(Eingaben!$C$39=2,0,IF(O10&gt;Parameter!$C$7*E10,Q10*Parameter!$C$59*12,0))</f>
        <v>1178.38493131998</v>
      </c>
      <c r="T10" s="40" t="n">
        <f aca="false">R10+S10</f>
        <v>6056.8231834882</v>
      </c>
      <c r="U10" s="40" t="n">
        <f aca="false">Ansparphase!$BJ$57*Parameter!$C$9*12*(1+Eingaben!$C$13)^(Eingaben!$C$6-Eingaben!$C$5)*(1+Eingaben!$C$13)^2*F10</f>
        <v>1664.41470913136</v>
      </c>
      <c r="V10" s="40" t="n">
        <f aca="false">U10*Parameter!$C$66</f>
        <v>1622.80434140307</v>
      </c>
      <c r="W10" s="40" t="n">
        <f aca="false">IF(Eingaben!$C$39=2,0,U10*(Parameter!$C$53+Parameter!$C$59))</f>
        <v>205.555216577723</v>
      </c>
      <c r="X10" s="40" t="n">
        <f aca="false">MAX(0,G10-V10+N10-T10+W10)</f>
        <v>31594.5108782294</v>
      </c>
      <c r="Y10" s="40" t="n">
        <f aca="false">MAX(0,(X10+IF(Eingaben!$C$14=3,Eingaben!$C$15,0))/Parameter!$C$57/D10)</f>
        <v>17791.2579015782</v>
      </c>
      <c r="Z10" s="40" t="n">
        <f aca="false">Parameter!$C$57*D10*(IF(Y10&lt;=Parameter!$C$18,0,IF(Y10&lt;=Parameter!$C$19,(Parameter!$C$22*(Y10-Parameter!$C$18)/10000+Parameter!$C$23)*(Y10-Parameter!$C$18)/10000,IF(Y10&lt;=Parameter!$C$20,(Parameter!$C$24*(Y10-Parameter!$C$19)/10000+Parameter!$C$25)*(Y10-Parameter!$C$19)/10000+Parameter!$C$26,IF(Y10&lt;=Parameter!$C$21,0.42*Y10-Parameter!$C$27,0.45*Y10-Parameter!$C$28)))))</f>
        <v>1834.47738431362</v>
      </c>
      <c r="AA10" s="40" t="n">
        <f aca="false">Z10+IF(Z10&lt;=(Parameter!$C$30*Parameter!$C$57*D10),0,MIN(Parameter!$C$29*Z10,Parameter!$C$31*(Z10-(Parameter!$C$30*Parameter!$C$57*D10))))+Eingaben!$C$16*Z10</f>
        <v>1834.47738431362</v>
      </c>
      <c r="AB10" s="40" t="n">
        <f aca="false">MAX(0,G10-V10+N10/5-T10+W10)</f>
        <v>31594.5108782294</v>
      </c>
      <c r="AC10" s="40" t="n">
        <f aca="false">MAX(0,(AB10+IF(Eingaben!$C$14=3,Eingaben!$C$15,0))/Parameter!$C$57/D10)</f>
        <v>17791.2579015782</v>
      </c>
      <c r="AD10" s="40" t="n">
        <f aca="false">Parameter!$C$57*D10*(IF(AC10&lt;=Parameter!$C$18,0,IF(AC10&lt;=Parameter!$C$19,(Parameter!$C$22*(AC10-Parameter!$C$18)/10000+Parameter!$C$23)*(AC10-Parameter!$C$18)/10000,IF(AC10&lt;=Parameter!$C$20,(Parameter!$C$24*(AC10-Parameter!$C$19)/10000+Parameter!$C$25)*(AC10-Parameter!$C$19)/10000+Parameter!$C$26,IF(AC10&lt;=Parameter!$C$21,0.42*AC10-Parameter!$C$27,0.45*AC10-Parameter!$C$28)))))</f>
        <v>1834.47738431362</v>
      </c>
      <c r="AE10" s="40" t="n">
        <f aca="false">AD10+IF(AD10&lt;=(Parameter!$C$30*Parameter!$C$57*D10),0,MIN(Parameter!$C$29*AD10,Parameter!$C$31*(AD10-(Parameter!$C$30*Parameter!$C$57*D10))))+Eingaben!$C$16*AD10</f>
        <v>1834.47738431362</v>
      </c>
      <c r="AF10" s="40" t="n">
        <f aca="false">IF(AND(Eingaben!$C$31=1,Eingaben!$C$28=1,M10&gt;0),MIN(AA10-J10,5*(AE10-J10)),AA10-J10)</f>
        <v>-1845.78152186594</v>
      </c>
      <c r="AG10" s="40" t="n">
        <f aca="false">M10-T10-AF10-U10+W10</f>
        <v>-5669.9011541759</v>
      </c>
      <c r="AH10" s="40" t="n">
        <f aca="false">MAX(0,(AH9-AI9)*(1+Parameter!$C$61))</f>
        <v>144641.529258378</v>
      </c>
      <c r="AI10" s="40" t="n">
        <f aca="false">IF(F10=0,0,MIN(AH10,Ansparphase!$AY$57*IF(2=0,Eingaben!$C$42,0)+(Ansparphase!$AY$57*(1-Eingaben!$C$42))*$CG$4))</f>
        <v>14498.4392735929</v>
      </c>
      <c r="AJ10" s="40" t="n">
        <f aca="false">MAX(0,(AJ9-AK9)*(1+Parameter!$C$61))</f>
        <v>58332.1166154973</v>
      </c>
      <c r="AK10" s="40" t="n">
        <f aca="false">IF(F10=0,0,MIN(AJ10,Ansparphase!$AZ$57*IF(2=0,Eingaben!$C$42,0)+(Ansparphase!$AZ$57*(1-Eingaben!$C$42))*$CG$4))</f>
        <v>5847.03891604451</v>
      </c>
      <c r="AL10" s="40" t="n">
        <f aca="false">MAX(0,(AL9-AM9)*(1+Parameter!$C$62))</f>
        <v>0</v>
      </c>
      <c r="AM10" s="40" t="n">
        <f aca="false">IF(F10=0,0,MIN(AL10,Ansparphase!$BA$57*$CG$5))</f>
        <v>0</v>
      </c>
      <c r="AN10" s="40" t="n">
        <f aca="false">MAX(0,AM10*(1-IF(Ansparphase!$BA$57=0,1,MIN(1,Ansparphase!$BB$57/Ansparphase!$BA$57)))*(1-Parameter!$C$37))*Parameter!$C$36</f>
        <v>0</v>
      </c>
      <c r="AO10" s="40" t="n">
        <f aca="false">AI10+AK10*(1-IF(Ansparphase!$AZ$57=0,1,MIN(1,$CG$7/Ansparphase!$AZ$57)))*Parameter!$C$52</f>
        <v>16240.3218755518</v>
      </c>
      <c r="AP10" s="40" t="n">
        <f aca="false">MAX(0,G10+AO10)</f>
        <v>55308.9050620948</v>
      </c>
      <c r="AQ10" s="40" t="n">
        <f aca="false">MAX(0,(AP10+IF(Eingaben!$C$14=3,Eingaben!$C$15,0))/Parameter!$C$57/D10)</f>
        <v>31145.1251138589</v>
      </c>
      <c r="AR10" s="40" t="n">
        <f aca="false">Parameter!$C$57*D10*(IF(AQ10&lt;=Parameter!$C$18,0,IF(AQ10&lt;=Parameter!$C$19,(Parameter!$C$22*(AQ10-Parameter!$C$18)/10000+Parameter!$C$23)*(AQ10-Parameter!$C$18)/10000,IF(AQ10&lt;=Parameter!$C$20,(Parameter!$C$24*(AQ10-Parameter!$C$19)/10000+Parameter!$C$25)*(AQ10-Parameter!$C$19)/10000+Parameter!$C$26,IF(AQ10&lt;=Parameter!$C$21,0.42*AQ10-Parameter!$C$27,0.45*AQ10-Parameter!$C$28)))))</f>
        <v>8066.34879123176</v>
      </c>
      <c r="AS10" s="40" t="n">
        <f aca="false">AR10+IF(AR10&lt;=(Parameter!$C$30*Parameter!$C$57*D10),0,MIN(Parameter!$C$29*AR10,Parameter!$C$31*(AR10-(Parameter!$C$30*Parameter!$C$57*D10))))+Eingaben!$C$16*AR10</f>
        <v>8066.34879123176</v>
      </c>
      <c r="AT10" s="40" t="n">
        <f aca="false">AI10+AK10-(AS10-J10)+AM10-AN10</f>
        <v>15959.3883045852</v>
      </c>
      <c r="AU10" s="40" t="n">
        <f aca="false">MAX(0,(AU9-AW9)*(1+Parameter!$C$62))</f>
        <v>155761.661762181</v>
      </c>
      <c r="AV10" s="40" t="n">
        <f aca="false">MAX(0,AV9-AV9*IF(AU9=0,0,AW9/AU9))</f>
        <v>77698.044612644</v>
      </c>
      <c r="AW10" s="40" t="n">
        <f aca="false">IF(F10=0,0,MIN(AU10,Ansparphase!$BE$57*$CG$5))</f>
        <v>15960.3275243806</v>
      </c>
      <c r="AX10" s="40" t="n">
        <f aca="false">AW10-IF(AU10=0,0,AV10*AW10/AU10)</f>
        <v>7998.89320227437</v>
      </c>
      <c r="AY10" s="40" t="n">
        <f aca="false">MAX(0,AX10*(1-Parameter!$C$37)-Parameter!$C$67)*Parameter!$C$36</f>
        <v>1213.04565746991</v>
      </c>
      <c r="AZ10" s="40" t="n">
        <f aca="false">AW10-AY10</f>
        <v>14747.2818669107</v>
      </c>
      <c r="BA10" s="38" t="n">
        <f aca="false">1/(1+Eingaben!$C$37)^C10</f>
        <v>0.56311230675951</v>
      </c>
      <c r="BB10" s="40" t="n">
        <f aca="false">IF(AND(Eingaben!$C$28=2,F10=0),(Ansparphase!$AW$57+Ansparphase!$AX$57)*Eingaben!$C$29/10000*12*(1+Eingaben!$C$30)^2,0)</f>
        <v>0</v>
      </c>
      <c r="BC10" s="38" t="n">
        <f aca="false">1/(1+Parameter!$C$68)^2</f>
        <v>0.897694108294206</v>
      </c>
    </row>
    <row r="11" customFormat="false" ht="15" hidden="false" customHeight="false" outlineLevel="0" collapsed="false">
      <c r="A11" s="32" t="n">
        <f aca="false">2026+C11</f>
        <v>2056</v>
      </c>
      <c r="B11" s="32" t="n">
        <f aca="false">Eingaben!$C$6+3</f>
        <v>70</v>
      </c>
      <c r="C11" s="32" t="n">
        <f aca="false">B11-Eingaben!$C$5</f>
        <v>30</v>
      </c>
      <c r="D11" s="41" t="n">
        <f aca="false">(1+Eingaben!$C$17)^C11</f>
        <v>1.81136158410335</v>
      </c>
      <c r="E11" s="41" t="n">
        <f aca="false">(1+Eingaben!$C$13)^C11</f>
        <v>2.09756757908179</v>
      </c>
      <c r="F11" s="32" t="n">
        <f aca="false">IF(B11&lt;=Eingaben!$C$7,1,0)</f>
        <v>1</v>
      </c>
      <c r="G11" s="43" t="n">
        <f aca="false">Eingaben!$C$40*(1+Eingaben!$C$37)^C11</f>
        <v>39849.9548502738</v>
      </c>
      <c r="H11" s="43" t="n">
        <f aca="false">MAX(0,(G11+IF(Eingaben!$C$14=3,Eingaben!$C$15,0))/Parameter!$C$57/D11)</f>
        <v>22000</v>
      </c>
      <c r="I11" s="43" t="n">
        <f aca="false">Parameter!$C$57*D11*(IF(H11&lt;=Parameter!$C$18,0,IF(H11&lt;=Parameter!$C$19,(Parameter!$C$22*(H11-Parameter!$C$18)/10000+Parameter!$C$23)*(H11-Parameter!$C$18)/10000,IF(H11&lt;=Parameter!$C$20,(Parameter!$C$24*(H11-Parameter!$C$19)/10000+Parameter!$C$25)*(H11-Parameter!$C$19)/10000+Parameter!$C$26,IF(H11&lt;=Parameter!$C$21,0.42*H11-Parameter!$C$27,0.45*H11-Parameter!$C$28)))))</f>
        <v>3753.86408430315</v>
      </c>
      <c r="J11" s="43" t="n">
        <f aca="false">I11+IF(I11&lt;=(Parameter!$C$30*Parameter!$C$57*D11),0,MIN(Parameter!$C$29*I11,Parameter!$C$31*(I11-(Parameter!$C$30*Parameter!$C$57*D11))))+Eingaben!$C$16*I11</f>
        <v>3753.86408430315</v>
      </c>
      <c r="K11" s="43" t="n">
        <f aca="false">IF(Eingaben!$C$28=1,IF(0=1,Ansparphase!$AW$57,0),(Ansparphase!$AW$57+Ansparphase!$AX$57)*Eingaben!$C$29/10000*12*(1+Eingaben!$C$30)^3*F11*IF((Ansparphase!$AW$57+Ansparphase!$AX$57)=0,0,Ansparphase!$AW$57/(Ansparphase!$AW$57+Ansparphase!$AX$57)))</f>
        <v>0</v>
      </c>
      <c r="L11" s="43" t="n">
        <f aca="false">IF(Eingaben!$C$28=1,IF(0=1,Ansparphase!$AX$57,0),(Ansparphase!$AW$57+Ansparphase!$AX$57)*Eingaben!$C$29/10000*12*(1+Eingaben!$C$30)^3*F11*IF((Ansparphase!$AW$57+Ansparphase!$AX$57)=0,0,Ansparphase!$AX$57/(Ansparphase!$AW$57+Ansparphase!$AX$57)))</f>
        <v>0</v>
      </c>
      <c r="M11" s="43" t="n">
        <f aca="false">K11+L11</f>
        <v>0</v>
      </c>
      <c r="N11" s="43" t="n">
        <f aca="false">K11+L11*IF(Eingaben!$C$28=1,(1-IF(Ansparphase!$AX$57=0,1,MIN(1,$CG$8/Ansparphase!$AX$57)))*Parameter!$C$52,Parameter!$C$51)</f>
        <v>0</v>
      </c>
      <c r="O11" s="43" t="n">
        <f aca="false">IF(Eingaben!$C$28=1,IF(3&lt;10,(Ansparphase!$AW$57+Ansparphase!$AX$57)/120,0),M11/12)</f>
        <v>2727.74289657404</v>
      </c>
      <c r="P11" s="43" t="n">
        <f aca="false">Eingaben!$C$41/12*(1+Eingaben!$C$13)^C11</f>
        <v>4195.13515816357</v>
      </c>
      <c r="Q11" s="43" t="n">
        <f aca="false">MAX(0,MIN(O11,Parameter!$C$5/12*E11-P11))</f>
        <v>2727.74289657404</v>
      </c>
      <c r="R11" s="43" t="n">
        <f aca="false">IF(Eingaben!$C$39=2,0,MAX(0,Q11-Parameter!$C$7*E11)*Parameter!$C$54*12)</f>
        <v>4857.19270640229</v>
      </c>
      <c r="S11" s="43" t="n">
        <f aca="false">IF(Eingaben!$C$39=2,0,IF(O11&gt;Parameter!$C$7*E11,Q11*Parameter!$C$59*12,0))</f>
        <v>1178.38493131998</v>
      </c>
      <c r="T11" s="43" t="n">
        <f aca="false">R11+S11</f>
        <v>6035.57763772227</v>
      </c>
      <c r="U11" s="43" t="n">
        <f aca="false">Ansparphase!$BJ$57*Parameter!$C$9*12*(1+Eingaben!$C$13)^(Eingaben!$C$6-Eingaben!$C$5)*(1+Eingaben!$C$13)^3*F11</f>
        <v>1706.02507685964</v>
      </c>
      <c r="V11" s="43" t="n">
        <f aca="false">U11*Parameter!$C$66</f>
        <v>1663.37444993815</v>
      </c>
      <c r="W11" s="43" t="n">
        <f aca="false">IF(Eingaben!$C$39=2,0,U11*(Parameter!$C$53+Parameter!$C$59))</f>
        <v>210.694096992166</v>
      </c>
      <c r="X11" s="43" t="n">
        <f aca="false">MAX(0,G11-V11+N11-T11+W11)</f>
        <v>32361.6968596056</v>
      </c>
      <c r="Y11" s="43" t="n">
        <f aca="false">MAX(0,(X11+IF(Eingaben!$C$14=3,Eingaben!$C$15,0))/Parameter!$C$57/D11)</f>
        <v>17865.9507541809</v>
      </c>
      <c r="Z11" s="43" t="n">
        <f aca="false">Parameter!$C$57*D11*(IF(Y11&lt;=Parameter!$C$18,0,IF(Y11&lt;=Parameter!$C$19,(Parameter!$C$22*(Y11-Parameter!$C$18)/10000+Parameter!$C$23)*(Y11-Parameter!$C$18)/10000,IF(Y11&lt;=Parameter!$C$20,(Parameter!$C$24*(Y11-Parameter!$C$19)/10000+Parameter!$C$25)*(Y11-Parameter!$C$19)/10000+Parameter!$C$26,IF(Y11&lt;=Parameter!$C$21,0.42*Y11-Parameter!$C$27,0.45*Y11-Parameter!$C$28)))))</f>
        <v>1903.60672115755</v>
      </c>
      <c r="AA11" s="43" t="n">
        <f aca="false">Z11+IF(Z11&lt;=(Parameter!$C$30*Parameter!$C$57*D11),0,MIN(Parameter!$C$29*Z11,Parameter!$C$31*(Z11-(Parameter!$C$30*Parameter!$C$57*D11))))+Eingaben!$C$16*Z11</f>
        <v>1903.60672115755</v>
      </c>
      <c r="AB11" s="43" t="n">
        <f aca="false">MAX(0,G11-V11+N11/5-T11+W11)</f>
        <v>32361.6968596056</v>
      </c>
      <c r="AC11" s="43" t="n">
        <f aca="false">MAX(0,(AB11+IF(Eingaben!$C$14=3,Eingaben!$C$15,0))/Parameter!$C$57/D11)</f>
        <v>17865.9507541809</v>
      </c>
      <c r="AD11" s="43" t="n">
        <f aca="false">Parameter!$C$57*D11*(IF(AC11&lt;=Parameter!$C$18,0,IF(AC11&lt;=Parameter!$C$19,(Parameter!$C$22*(AC11-Parameter!$C$18)/10000+Parameter!$C$23)*(AC11-Parameter!$C$18)/10000,IF(AC11&lt;=Parameter!$C$20,(Parameter!$C$24*(AC11-Parameter!$C$19)/10000+Parameter!$C$25)*(AC11-Parameter!$C$19)/10000+Parameter!$C$26,IF(AC11&lt;=Parameter!$C$21,0.42*AC11-Parameter!$C$27,0.45*AC11-Parameter!$C$28)))))</f>
        <v>1903.60672115755</v>
      </c>
      <c r="AE11" s="43" t="n">
        <f aca="false">AD11+IF(AD11&lt;=(Parameter!$C$30*Parameter!$C$57*D11),0,MIN(Parameter!$C$29*AD11,Parameter!$C$31*(AD11-(Parameter!$C$30*Parameter!$C$57*D11))))+Eingaben!$C$16*AD11</f>
        <v>1903.60672115755</v>
      </c>
      <c r="AF11" s="43" t="n">
        <f aca="false">IF(AND(Eingaben!$C$31=1,Eingaben!$C$28=1,M11&gt;0),MIN(AA11-J11,5*(AE11-J11)),AA11-J11)</f>
        <v>-1850.2573631456</v>
      </c>
      <c r="AG11" s="43" t="n">
        <f aca="false">M11-T11-AF11-U11+W11</f>
        <v>-5680.65125444415</v>
      </c>
      <c r="AH11" s="43" t="n">
        <f aca="false">MAX(0,(AH10-AI10)*(1+Parameter!$C$61))</f>
        <v>138602.390833796</v>
      </c>
      <c r="AI11" s="43" t="n">
        <f aca="false">IF(F11=0,0,MIN(AH11,Ansparphase!$AY$57*IF(3=0,Eingaben!$C$42,0)+(Ansparphase!$AY$57*(1-Eingaben!$C$42))*$CG$4))</f>
        <v>14498.4392735929</v>
      </c>
      <c r="AJ11" s="43" t="n">
        <f aca="false">MAX(0,(AJ10-AK10)*(1+Parameter!$C$61))</f>
        <v>55896.6077499172</v>
      </c>
      <c r="AK11" s="43" t="n">
        <f aca="false">IF(F11=0,0,MIN(AJ11,Ansparphase!$AZ$57*IF(3=0,Eingaben!$C$42,0)+(Ansparphase!$AZ$57*(1-Eingaben!$C$42))*$CG$4))</f>
        <v>5847.03891604451</v>
      </c>
      <c r="AL11" s="43" t="n">
        <f aca="false">MAX(0,(AL10-AM10)*(1+Parameter!$C$62))</f>
        <v>0</v>
      </c>
      <c r="AM11" s="43" t="n">
        <f aca="false">IF(F11=0,0,MIN(AL11,Ansparphase!$BA$57*$CG$5))</f>
        <v>0</v>
      </c>
      <c r="AN11" s="43" t="n">
        <f aca="false">MAX(0,AM11*(1-IF(Ansparphase!$BA$57=0,1,MIN(1,Ansparphase!$BB$57/Ansparphase!$BA$57)))*(1-Parameter!$C$37))*Parameter!$C$36</f>
        <v>0</v>
      </c>
      <c r="AO11" s="43" t="n">
        <f aca="false">AI11+AK11*(1-IF(Ansparphase!$AZ$57=0,1,MIN(1,$CG$7/Ansparphase!$AZ$57)))*Parameter!$C$52</f>
        <v>16240.3218755518</v>
      </c>
      <c r="AP11" s="43" t="n">
        <f aca="false">MAX(0,G11+AO11)</f>
        <v>56090.2767258256</v>
      </c>
      <c r="AQ11" s="43" t="n">
        <f aca="false">MAX(0,(AP11+IF(Eingaben!$C$14=3,Eingaben!$C$15,0))/Parameter!$C$57/D11)</f>
        <v>30965.8089351558</v>
      </c>
      <c r="AR11" s="43" t="n">
        <f aca="false">Parameter!$C$57*D11*(IF(AQ11&lt;=Parameter!$C$18,0,IF(AQ11&lt;=Parameter!$C$19,(Parameter!$C$22*(AQ11-Parameter!$C$18)/10000+Parameter!$C$23)*(AQ11-Parameter!$C$18)/10000,IF(AQ11&lt;=Parameter!$C$20,(Parameter!$C$24*(AQ11-Parameter!$C$19)/10000+Parameter!$C$25)*(AQ11-Parameter!$C$19)/10000+Parameter!$C$26,IF(AQ11&lt;=Parameter!$C$21,0.42*AQ11-Parameter!$C$27,0.45*AQ11-Parameter!$C$28)))))</f>
        <v>8134.91303344773</v>
      </c>
      <c r="AS11" s="43" t="n">
        <f aca="false">AR11+IF(AR11&lt;=(Parameter!$C$30*Parameter!$C$57*D11),0,MIN(Parameter!$C$29*AR11,Parameter!$C$31*(AR11-(Parameter!$C$30*Parameter!$C$57*D11))))+Eingaben!$C$16*AR11</f>
        <v>8134.91303344773</v>
      </c>
      <c r="AT11" s="43" t="n">
        <f aca="false">AI11+AK11-(AS11-J11)+AM11-AN11</f>
        <v>15964.4292404928</v>
      </c>
      <c r="AU11" s="43" t="n">
        <f aca="false">MAX(0,(AU10-AW10)*(1+Parameter!$C$62))</f>
        <v>149307.824965971</v>
      </c>
      <c r="AV11" s="43" t="n">
        <f aca="false">MAX(0,AV10-AV10*IF(AU10=0,0,AW10/AU10))</f>
        <v>69736.6102905378</v>
      </c>
      <c r="AW11" s="43" t="n">
        <f aca="false">IF(F11=0,0,MIN(AU11,Ansparphase!$BE$57*$CG$5))</f>
        <v>15960.3275243806</v>
      </c>
      <c r="AX11" s="43" t="n">
        <f aca="false">AW11-IF(AU11=0,0,AV11*AW11/AU11)</f>
        <v>8505.80100555454</v>
      </c>
      <c r="AY11" s="43" t="n">
        <f aca="false">MAX(0,AX11*(1-Parameter!$C$37)-Parameter!$C$67)*Parameter!$C$36</f>
        <v>1306.63351065051</v>
      </c>
      <c r="AZ11" s="43" t="n">
        <f aca="false">AW11-AY11</f>
        <v>14653.6940137301</v>
      </c>
      <c r="BA11" s="41" t="n">
        <f aca="false">1/(1+Eingaben!$C$37)^C11</f>
        <v>0.552070888979912</v>
      </c>
      <c r="BB11" s="43" t="n">
        <f aca="false">IF(AND(Eingaben!$C$28=2,F11=0),(Ansparphase!$AW$57+Ansparphase!$AX$57)*Eingaben!$C$29/10000*12*(1+Eingaben!$C$30)^3,0)</f>
        <v>0</v>
      </c>
      <c r="BC11" s="41" t="n">
        <f aca="false">1/(1+Parameter!$C$68)^3</f>
        <v>0.850535729503992</v>
      </c>
    </row>
    <row r="12" customFormat="false" ht="15" hidden="false" customHeight="false" outlineLevel="0" collapsed="false">
      <c r="A12" s="30" t="n">
        <f aca="false">2026+C12</f>
        <v>2057</v>
      </c>
      <c r="B12" s="30" t="n">
        <f aca="false">Eingaben!$C$6+4</f>
        <v>71</v>
      </c>
      <c r="C12" s="30" t="n">
        <f aca="false">B12-Eingaben!$C$5</f>
        <v>31</v>
      </c>
      <c r="D12" s="38" t="n">
        <f aca="false">(1+Eingaben!$C$17)^C12</f>
        <v>1.84758881578542</v>
      </c>
      <c r="E12" s="38" t="n">
        <f aca="false">(1+Eingaben!$C$13)^C12</f>
        <v>2.15000676855883</v>
      </c>
      <c r="F12" s="30" t="n">
        <f aca="false">IF(B12&lt;=Eingaben!$C$7,1,0)</f>
        <v>1</v>
      </c>
      <c r="G12" s="40" t="n">
        <f aca="false">Eingaben!$C$40*(1+Eingaben!$C$37)^C12</f>
        <v>40646.9539472793</v>
      </c>
      <c r="H12" s="40" t="n">
        <f aca="false">MAX(0,(G12+IF(Eingaben!$C$14=3,Eingaben!$C$15,0))/Parameter!$C$57/D12)</f>
        <v>22000</v>
      </c>
      <c r="I12" s="40" t="n">
        <f aca="false">Parameter!$C$57*D12*(IF(H12&lt;=Parameter!$C$18,0,IF(H12&lt;=Parameter!$C$19,(Parameter!$C$22*(H12-Parameter!$C$18)/10000+Parameter!$C$23)*(H12-Parameter!$C$18)/10000,IF(H12&lt;=Parameter!$C$20,(Parameter!$C$24*(H12-Parameter!$C$19)/10000+Parameter!$C$25)*(H12-Parameter!$C$19)/10000+Parameter!$C$26,IF(H12&lt;=Parameter!$C$21,0.42*H12-Parameter!$C$27,0.45*H12-Parameter!$C$28)))))</f>
        <v>3828.94136598921</v>
      </c>
      <c r="J12" s="40" t="n">
        <f aca="false">I12+IF(I12&lt;=(Parameter!$C$30*Parameter!$C$57*D12),0,MIN(Parameter!$C$29*I12,Parameter!$C$31*(I12-(Parameter!$C$30*Parameter!$C$57*D12))))+Eingaben!$C$16*I12</f>
        <v>3828.94136598921</v>
      </c>
      <c r="K12" s="40" t="n">
        <f aca="false">IF(Eingaben!$C$28=1,IF(0=1,Ansparphase!$AW$57,0),(Ansparphase!$AW$57+Ansparphase!$AX$57)*Eingaben!$C$29/10000*12*(1+Eingaben!$C$30)^4*F12*IF((Ansparphase!$AW$57+Ansparphase!$AX$57)=0,0,Ansparphase!$AW$57/(Ansparphase!$AW$57+Ansparphase!$AX$57)))</f>
        <v>0</v>
      </c>
      <c r="L12" s="40" t="n">
        <f aca="false">IF(Eingaben!$C$28=1,IF(0=1,Ansparphase!$AX$57,0),(Ansparphase!$AW$57+Ansparphase!$AX$57)*Eingaben!$C$29/10000*12*(1+Eingaben!$C$30)^4*F12*IF((Ansparphase!$AW$57+Ansparphase!$AX$57)=0,0,Ansparphase!$AX$57/(Ansparphase!$AW$57+Ansparphase!$AX$57)))</f>
        <v>0</v>
      </c>
      <c r="M12" s="40" t="n">
        <f aca="false">K12+L12</f>
        <v>0</v>
      </c>
      <c r="N12" s="40" t="n">
        <f aca="false">K12+L12*IF(Eingaben!$C$28=1,(1-IF(Ansparphase!$AX$57=0,1,MIN(1,$CG$8/Ansparphase!$AX$57)))*Parameter!$C$52,Parameter!$C$51)</f>
        <v>0</v>
      </c>
      <c r="O12" s="40" t="n">
        <f aca="false">IF(Eingaben!$C$28=1,IF(4&lt;10,(Ansparphase!$AW$57+Ansparphase!$AX$57)/120,0),M12/12)</f>
        <v>2727.74289657404</v>
      </c>
      <c r="P12" s="40" t="n">
        <f aca="false">Eingaben!$C$41/12*(1+Eingaben!$C$13)^C12</f>
        <v>4300.01353711766</v>
      </c>
      <c r="Q12" s="40" t="n">
        <f aca="false">MAX(0,MIN(O12,Parameter!$C$5/12*E12-P12))</f>
        <v>2727.74289657404</v>
      </c>
      <c r="R12" s="40" t="n">
        <f aca="false">IF(Eingaben!$C$39=2,0,MAX(0,Q12-Parameter!$C$7*E12)*Parameter!$C$54*12)</f>
        <v>4835.41602199221</v>
      </c>
      <c r="S12" s="40" t="n">
        <f aca="false">IF(Eingaben!$C$39=2,0,IF(O12&gt;Parameter!$C$7*E12,Q12*Parameter!$C$59*12,0))</f>
        <v>1178.38493131998</v>
      </c>
      <c r="T12" s="40" t="n">
        <f aca="false">R12+S12</f>
        <v>6013.80095331219</v>
      </c>
      <c r="U12" s="40" t="n">
        <f aca="false">Ansparphase!$BJ$57*Parameter!$C$9*12*(1+Eingaben!$C$13)^(Eingaben!$C$6-Eingaben!$C$5)*(1+Eingaben!$C$13)^4*F12</f>
        <v>1748.67570378113</v>
      </c>
      <c r="V12" s="40" t="n">
        <f aca="false">U12*Parameter!$C$66</f>
        <v>1704.9588111866</v>
      </c>
      <c r="W12" s="40" t="n">
        <f aca="false">IF(Eingaben!$C$39=2,0,U12*(Parameter!$C$53+Parameter!$C$59))</f>
        <v>215.96144941697</v>
      </c>
      <c r="X12" s="40" t="n">
        <f aca="false">MAX(0,G12-V12+N12-T12+W12)</f>
        <v>33144.1556321975</v>
      </c>
      <c r="Y12" s="40" t="n">
        <f aca="false">MAX(0,(X12+IF(Eingaben!$C$14=3,Eingaben!$C$15,0))/Parameter!$C$57/D12)</f>
        <v>17939.1406513292</v>
      </c>
      <c r="Z12" s="40" t="n">
        <f aca="false">Parameter!$C$57*D12*(IF(Y12&lt;=Parameter!$C$18,0,IF(Y12&lt;=Parameter!$C$19,(Parameter!$C$22*(Y12-Parameter!$C$18)/10000+Parameter!$C$23)*(Y12-Parameter!$C$18)/10000,IF(Y12&lt;=Parameter!$C$20,(Parameter!$C$24*(Y12-Parameter!$C$19)/10000+Parameter!$C$25)*(Y12-Parameter!$C$19)/10000+Parameter!$C$26,IF(Y12&lt;=Parameter!$C$21,0.42*Y12-Parameter!$C$27,0.45*Y12-Parameter!$C$28)))))</f>
        <v>1974.14072337905</v>
      </c>
      <c r="AA12" s="40" t="n">
        <f aca="false">Z12+IF(Z12&lt;=(Parameter!$C$30*Parameter!$C$57*D12),0,MIN(Parameter!$C$29*Z12,Parameter!$C$31*(Z12-(Parameter!$C$30*Parameter!$C$57*D12))))+Eingaben!$C$16*Z12</f>
        <v>1974.14072337905</v>
      </c>
      <c r="AB12" s="40" t="n">
        <f aca="false">MAX(0,G12-V12+N12/5-T12+W12)</f>
        <v>33144.1556321975</v>
      </c>
      <c r="AC12" s="40" t="n">
        <f aca="false">MAX(0,(AB12+IF(Eingaben!$C$14=3,Eingaben!$C$15,0))/Parameter!$C$57/D12)</f>
        <v>17939.1406513292</v>
      </c>
      <c r="AD12" s="40" t="n">
        <f aca="false">Parameter!$C$57*D12*(IF(AC12&lt;=Parameter!$C$18,0,IF(AC12&lt;=Parameter!$C$19,(Parameter!$C$22*(AC12-Parameter!$C$18)/10000+Parameter!$C$23)*(AC12-Parameter!$C$18)/10000,IF(AC12&lt;=Parameter!$C$20,(Parameter!$C$24*(AC12-Parameter!$C$19)/10000+Parameter!$C$25)*(AC12-Parameter!$C$19)/10000+Parameter!$C$26,IF(AC12&lt;=Parameter!$C$21,0.42*AC12-Parameter!$C$27,0.45*AC12-Parameter!$C$28)))))</f>
        <v>1974.14072337905</v>
      </c>
      <c r="AE12" s="40" t="n">
        <f aca="false">AD12+IF(AD12&lt;=(Parameter!$C$30*Parameter!$C$57*D12),0,MIN(Parameter!$C$29*AD12,Parameter!$C$31*(AD12-(Parameter!$C$30*Parameter!$C$57*D12))))+Eingaben!$C$16*AD12</f>
        <v>1974.14072337905</v>
      </c>
      <c r="AF12" s="40" t="n">
        <f aca="false">IF(AND(Eingaben!$C$31=1,Eingaben!$C$28=1,M12&gt;0),MIN(AA12-J12,5*(AE12-J12)),AA12-J12)</f>
        <v>-1854.80064261016</v>
      </c>
      <c r="AG12" s="40" t="n">
        <f aca="false">M12-T12-AF12-U12+W12</f>
        <v>-5691.71456506619</v>
      </c>
      <c r="AH12" s="40" t="n">
        <f aca="false">MAX(0,(AH11-AI11)*(1+Parameter!$C$61))</f>
        <v>132170.708411617</v>
      </c>
      <c r="AI12" s="40" t="n">
        <f aca="false">IF(F12=0,0,MIN(AH12,Ansparphase!$AY$57*IF(4=0,Eingaben!$C$42,0)+(Ansparphase!$AY$57*(1-Eingaben!$C$42))*$CG$4))</f>
        <v>14498.4392735929</v>
      </c>
      <c r="AJ12" s="40" t="n">
        <f aca="false">MAX(0,(AJ11-AK11)*(1+Parameter!$C$61))</f>
        <v>53302.7908080744</v>
      </c>
      <c r="AK12" s="40" t="n">
        <f aca="false">IF(F12=0,0,MIN(AJ12,Ansparphase!$AZ$57*IF(4=0,Eingaben!$C$42,0)+(Ansparphase!$AZ$57*(1-Eingaben!$C$42))*$CG$4))</f>
        <v>5847.03891604451</v>
      </c>
      <c r="AL12" s="40" t="n">
        <f aca="false">MAX(0,(AL11-AM11)*(1+Parameter!$C$62))</f>
        <v>0</v>
      </c>
      <c r="AM12" s="40" t="n">
        <f aca="false">IF(F12=0,0,MIN(AL12,Ansparphase!$BA$57*$CG$5))</f>
        <v>0</v>
      </c>
      <c r="AN12" s="40" t="n">
        <f aca="false">MAX(0,AM12*(1-IF(Ansparphase!$BA$57=0,1,MIN(1,Ansparphase!$BB$57/Ansparphase!$BA$57)))*(1-Parameter!$C$37))*Parameter!$C$36</f>
        <v>0</v>
      </c>
      <c r="AO12" s="40" t="n">
        <f aca="false">AI12+AK12*(1-IF(Ansparphase!$AZ$57=0,1,MIN(1,$CG$7/Ansparphase!$AZ$57)))*Parameter!$C$52</f>
        <v>16240.3218755518</v>
      </c>
      <c r="AP12" s="40" t="n">
        <f aca="false">MAX(0,G12+AO12)</f>
        <v>56887.2758228311</v>
      </c>
      <c r="AQ12" s="40" t="n">
        <f aca="false">MAX(0,(AP12+IF(Eingaben!$C$14=3,Eingaben!$C$15,0))/Parameter!$C$57/D12)</f>
        <v>30790.0087599567</v>
      </c>
      <c r="AR12" s="40" t="n">
        <f aca="false">Parameter!$C$57*D12*(IF(AQ12&lt;=Parameter!$C$18,0,IF(AQ12&lt;=Parameter!$C$19,(Parameter!$C$22*(AQ12-Parameter!$C$18)/10000+Parameter!$C$23)*(AQ12-Parameter!$C$18)/10000,IF(AQ12&lt;=Parameter!$C$20,(Parameter!$C$24*(AQ12-Parameter!$C$19)/10000+Parameter!$C$25)*(AQ12-Parameter!$C$19)/10000+Parameter!$C$26,IF(AQ12&lt;=Parameter!$C$21,0.42*AQ12-Parameter!$C$27,0.45*AQ12-Parameter!$C$28)))))</f>
        <v>8205.04822110671</v>
      </c>
      <c r="AS12" s="40" t="n">
        <f aca="false">AR12+IF(AR12&lt;=(Parameter!$C$30*Parameter!$C$57*D12),0,MIN(Parameter!$C$29*AR12,Parameter!$C$31*(AR12-(Parameter!$C$30*Parameter!$C$57*D12))))+Eingaben!$C$16*AR12</f>
        <v>8205.04822110671</v>
      </c>
      <c r="AT12" s="40" t="n">
        <f aca="false">AI12+AK12-(AS12-J12)+AM12-AN12</f>
        <v>15969.3713345199</v>
      </c>
      <c r="AU12" s="40" t="n">
        <f aca="false">MAX(0,(AU11-AW11)*(1+Parameter!$C$62))</f>
        <v>142415.127267619</v>
      </c>
      <c r="AV12" s="40" t="n">
        <f aca="false">MAX(0,AV11-AV11*IF(AU11=0,0,AW11/AU11))</f>
        <v>62282.0837717117</v>
      </c>
      <c r="AW12" s="40" t="n">
        <f aca="false">IF(F12=0,0,MIN(AU12,Ansparphase!$BE$57*$CG$5))</f>
        <v>15960.3275243806</v>
      </c>
      <c r="AX12" s="40" t="n">
        <f aca="false">AW12-IF(AU12=0,0,AV12*AW12/AU12)</f>
        <v>8980.43378016145</v>
      </c>
      <c r="AY12" s="40" t="n">
        <f aca="false">MAX(0,AX12*(1-Parameter!$C$37)-Parameter!$C$67)*Parameter!$C$36</f>
        <v>1394.26258666231</v>
      </c>
      <c r="AZ12" s="40" t="n">
        <f aca="false">AW12-AY12</f>
        <v>14566.0649377183</v>
      </c>
      <c r="BA12" s="38" t="n">
        <f aca="false">1/(1+Eingaben!$C$37)^C12</f>
        <v>0.541245969588149</v>
      </c>
      <c r="BB12" s="40" t="n">
        <f aca="false">IF(AND(Eingaben!$C$28=2,F12=0),(Ansparphase!$AW$57+Ansparphase!$AX$57)*Eingaben!$C$29/10000*12*(1+Eingaben!$C$30)^4,0)</f>
        <v>0</v>
      </c>
      <c r="BC12" s="38" t="n">
        <f aca="false">1/(1+Parameter!$C$68)^4</f>
        <v>0.80585471206613</v>
      </c>
    </row>
    <row r="13" customFormat="false" ht="15" hidden="false" customHeight="false" outlineLevel="0" collapsed="false">
      <c r="A13" s="32" t="n">
        <f aca="false">2026+C13</f>
        <v>2058</v>
      </c>
      <c r="B13" s="32" t="n">
        <f aca="false">Eingaben!$C$6+5</f>
        <v>72</v>
      </c>
      <c r="C13" s="32" t="n">
        <f aca="false">B13-Eingaben!$C$5</f>
        <v>32</v>
      </c>
      <c r="D13" s="41" t="n">
        <f aca="false">(1+Eingaben!$C$17)^C13</f>
        <v>1.88454059210113</v>
      </c>
      <c r="E13" s="41" t="n">
        <f aca="false">(1+Eingaben!$C$13)^C13</f>
        <v>2.2037569377728</v>
      </c>
      <c r="F13" s="32" t="n">
        <f aca="false">IF(B13&lt;=Eingaben!$C$7,1,0)</f>
        <v>1</v>
      </c>
      <c r="G13" s="43" t="n">
        <f aca="false">Eingaben!$C$40*(1+Eingaben!$C$37)^C13</f>
        <v>41459.8930262249</v>
      </c>
      <c r="H13" s="43" t="n">
        <f aca="false">MAX(0,(G13+IF(Eingaben!$C$14=3,Eingaben!$C$15,0))/Parameter!$C$57/D13)</f>
        <v>22000</v>
      </c>
      <c r="I13" s="43" t="n">
        <f aca="false">Parameter!$C$57*D13*(IF(H13&lt;=Parameter!$C$18,0,IF(H13&lt;=Parameter!$C$19,(Parameter!$C$22*(H13-Parameter!$C$18)/10000+Parameter!$C$23)*(H13-Parameter!$C$18)/10000,IF(H13&lt;=Parameter!$C$20,(Parameter!$C$24*(H13-Parameter!$C$19)/10000+Parameter!$C$25)*(H13-Parameter!$C$19)/10000+Parameter!$C$26,IF(H13&lt;=Parameter!$C$21,0.42*H13-Parameter!$C$27,0.45*H13-Parameter!$C$28)))))</f>
        <v>3905.520193309</v>
      </c>
      <c r="J13" s="43" t="n">
        <f aca="false">I13+IF(I13&lt;=(Parameter!$C$30*Parameter!$C$57*D13),0,MIN(Parameter!$C$29*I13,Parameter!$C$31*(I13-(Parameter!$C$30*Parameter!$C$57*D13))))+Eingaben!$C$16*I13</f>
        <v>3905.520193309</v>
      </c>
      <c r="K13" s="43" t="n">
        <f aca="false">IF(Eingaben!$C$28=1,IF(0=1,Ansparphase!$AW$57,0),(Ansparphase!$AW$57+Ansparphase!$AX$57)*Eingaben!$C$29/10000*12*(1+Eingaben!$C$30)^5*F13*IF((Ansparphase!$AW$57+Ansparphase!$AX$57)=0,0,Ansparphase!$AW$57/(Ansparphase!$AW$57+Ansparphase!$AX$57)))</f>
        <v>0</v>
      </c>
      <c r="L13" s="43" t="n">
        <f aca="false">IF(Eingaben!$C$28=1,IF(0=1,Ansparphase!$AX$57,0),(Ansparphase!$AW$57+Ansparphase!$AX$57)*Eingaben!$C$29/10000*12*(1+Eingaben!$C$30)^5*F13*IF((Ansparphase!$AW$57+Ansparphase!$AX$57)=0,0,Ansparphase!$AX$57/(Ansparphase!$AW$57+Ansparphase!$AX$57)))</f>
        <v>0</v>
      </c>
      <c r="M13" s="43" t="n">
        <f aca="false">K13+L13</f>
        <v>0</v>
      </c>
      <c r="N13" s="43" t="n">
        <f aca="false">K13+L13*IF(Eingaben!$C$28=1,(1-IF(Ansparphase!$AX$57=0,1,MIN(1,$CG$8/Ansparphase!$AX$57)))*Parameter!$C$52,Parameter!$C$51)</f>
        <v>0</v>
      </c>
      <c r="O13" s="43" t="n">
        <f aca="false">IF(Eingaben!$C$28=1,IF(5&lt;10,(Ansparphase!$AW$57+Ansparphase!$AX$57)/120,0),M13/12)</f>
        <v>2727.74289657404</v>
      </c>
      <c r="P13" s="43" t="n">
        <f aca="false">Eingaben!$C$41/12*(1+Eingaben!$C$13)^C13</f>
        <v>4407.5138755456</v>
      </c>
      <c r="Q13" s="43" t="n">
        <f aca="false">MAX(0,MIN(O13,Parameter!$C$5/12*E13-P13))</f>
        <v>2727.74289657404</v>
      </c>
      <c r="R13" s="43" t="n">
        <f aca="false">IF(Eingaben!$C$39=2,0,MAX(0,Q13-Parameter!$C$7*E13)*Parameter!$C$54*12)</f>
        <v>4813.09492047188</v>
      </c>
      <c r="S13" s="43" t="n">
        <f aca="false">IF(Eingaben!$C$39=2,0,IF(O13&gt;Parameter!$C$7*E13,Q13*Parameter!$C$59*12,0))</f>
        <v>1178.38493131998</v>
      </c>
      <c r="T13" s="43" t="n">
        <f aca="false">R13+S13</f>
        <v>5991.47985179186</v>
      </c>
      <c r="U13" s="43" t="n">
        <f aca="false">Ansparphase!$BJ$57*Parameter!$C$9*12*(1+Eingaben!$C$13)^(Eingaben!$C$6-Eingaben!$C$5)*(1+Eingaben!$C$13)^5*F13</f>
        <v>1792.39259637566</v>
      </c>
      <c r="V13" s="43" t="n">
        <f aca="false">U13*Parameter!$C$66</f>
        <v>1747.58278146627</v>
      </c>
      <c r="W13" s="43" t="n">
        <f aca="false">IF(Eingaben!$C$39=2,0,U13*(Parameter!$C$53+Parameter!$C$59))</f>
        <v>221.360485652394</v>
      </c>
      <c r="X13" s="43" t="n">
        <f aca="false">MAX(0,G13-V13+N13-T13+W13)</f>
        <v>33942.1908786191</v>
      </c>
      <c r="Y13" s="43" t="n">
        <f aca="false">MAX(0,(X13+IF(Eingaben!$C$14=3,Eingaben!$C$15,0))/Parameter!$C$57/D13)</f>
        <v>18010.8568745532</v>
      </c>
      <c r="Z13" s="43" t="n">
        <f aca="false">Parameter!$C$57*D13*(IF(Y13&lt;=Parameter!$C$18,0,IF(Y13&lt;=Parameter!$C$19,(Parameter!$C$22*(Y13-Parameter!$C$18)/10000+Parameter!$C$23)*(Y13-Parameter!$C$18)/10000,IF(Y13&lt;=Parameter!$C$20,(Parameter!$C$24*(Y13-Parameter!$C$19)/10000+Parameter!$C$25)*(Y13-Parameter!$C$19)/10000+Parameter!$C$26,IF(Y13&lt;=Parameter!$C$21,0.42*Y13-Parameter!$C$27,0.45*Y13-Parameter!$C$28)))))</f>
        <v>2046.10185355127</v>
      </c>
      <c r="AA13" s="43" t="n">
        <f aca="false">Z13+IF(Z13&lt;=(Parameter!$C$30*Parameter!$C$57*D13),0,MIN(Parameter!$C$29*Z13,Parameter!$C$31*(Z13-(Parameter!$C$30*Parameter!$C$57*D13))))+Eingaben!$C$16*Z13</f>
        <v>2046.10185355127</v>
      </c>
      <c r="AB13" s="43" t="n">
        <f aca="false">MAX(0,G13-V13+N13/5-T13+W13)</f>
        <v>33942.1908786191</v>
      </c>
      <c r="AC13" s="43" t="n">
        <f aca="false">MAX(0,(AB13+IF(Eingaben!$C$14=3,Eingaben!$C$15,0))/Parameter!$C$57/D13)</f>
        <v>18010.8568745532</v>
      </c>
      <c r="AD13" s="43" t="n">
        <f aca="false">Parameter!$C$57*D13*(IF(AC13&lt;=Parameter!$C$18,0,IF(AC13&lt;=Parameter!$C$19,(Parameter!$C$22*(AC13-Parameter!$C$18)/10000+Parameter!$C$23)*(AC13-Parameter!$C$18)/10000,IF(AC13&lt;=Parameter!$C$20,(Parameter!$C$24*(AC13-Parameter!$C$19)/10000+Parameter!$C$25)*(AC13-Parameter!$C$19)/10000+Parameter!$C$26,IF(AC13&lt;=Parameter!$C$21,0.42*AC13-Parameter!$C$27,0.45*AC13-Parameter!$C$28)))))</f>
        <v>2046.10185355127</v>
      </c>
      <c r="AE13" s="43" t="n">
        <f aca="false">AD13+IF(AD13&lt;=(Parameter!$C$30*Parameter!$C$57*D13),0,MIN(Parameter!$C$29*AD13,Parameter!$C$31*(AD13-(Parameter!$C$30*Parameter!$C$57*D13))))+Eingaben!$C$16*AD13</f>
        <v>2046.10185355127</v>
      </c>
      <c r="AF13" s="43" t="n">
        <f aca="false">IF(AND(Eingaben!$C$31=1,Eingaben!$C$28=1,M13&gt;0),MIN(AA13-J13,5*(AE13-J13)),AA13-J13)</f>
        <v>-1859.41833975772</v>
      </c>
      <c r="AG13" s="43" t="n">
        <f aca="false">M13-T13-AF13-U13+W13</f>
        <v>-5703.0936227574</v>
      </c>
      <c r="AH13" s="43" t="n">
        <f aca="false">MAX(0,(AH12-AI12)*(1+Parameter!$C$61))</f>
        <v>125320.966631995</v>
      </c>
      <c r="AI13" s="43" t="n">
        <f aca="false">IF(F13=0,0,MIN(AH13,Ansparphase!$AY$57*IF(5=0,Eingaben!$C$42,0)+(Ansparphase!$AY$57*(1-Eingaben!$C$42))*$CG$4))</f>
        <v>14498.4392735929</v>
      </c>
      <c r="AJ13" s="43" t="n">
        <f aca="false">MAX(0,(AJ12-AK12)*(1+Parameter!$C$61))</f>
        <v>50540.3757650118</v>
      </c>
      <c r="AK13" s="43" t="n">
        <f aca="false">IF(F13=0,0,MIN(AJ13,Ansparphase!$AZ$57*IF(5=0,Eingaben!$C$42,0)+(Ansparphase!$AZ$57*(1-Eingaben!$C$42))*$CG$4))</f>
        <v>5847.03891604451</v>
      </c>
      <c r="AL13" s="43" t="n">
        <f aca="false">MAX(0,(AL12-AM12)*(1+Parameter!$C$62))</f>
        <v>0</v>
      </c>
      <c r="AM13" s="43" t="n">
        <f aca="false">IF(F13=0,0,MIN(AL13,Ansparphase!$BA$57*$CG$5))</f>
        <v>0</v>
      </c>
      <c r="AN13" s="43" t="n">
        <f aca="false">MAX(0,AM13*(1-IF(Ansparphase!$BA$57=0,1,MIN(1,Ansparphase!$BB$57/Ansparphase!$BA$57)))*(1-Parameter!$C$37))*Parameter!$C$36</f>
        <v>0</v>
      </c>
      <c r="AO13" s="43" t="n">
        <f aca="false">AI13+AK13*(1-IF(Ansparphase!$AZ$57=0,1,MIN(1,$CG$7/Ansparphase!$AZ$57)))*Parameter!$C$52</f>
        <v>16240.3218755518</v>
      </c>
      <c r="AP13" s="43" t="n">
        <f aca="false">MAX(0,G13+AO13)</f>
        <v>57700.2149017767</v>
      </c>
      <c r="AQ13" s="43" t="n">
        <f aca="false">MAX(0,(AP13+IF(Eingaben!$C$14=3,Eingaben!$C$15,0))/Parameter!$C$57/D13)</f>
        <v>30617.6556470164</v>
      </c>
      <c r="AR13" s="43" t="n">
        <f aca="false">Parameter!$C$57*D13*(IF(AQ13&lt;=Parameter!$C$18,0,IF(AQ13&lt;=Parameter!$C$19,(Parameter!$C$22*(AQ13-Parameter!$C$18)/10000+Parameter!$C$23)*(AQ13-Parameter!$C$18)/10000,IF(AQ13&lt;=Parameter!$C$20,(Parameter!$C$24*(AQ13-Parameter!$C$19)/10000+Parameter!$C$25)*(AQ13-Parameter!$C$19)/10000+Parameter!$C$26,IF(AQ13&lt;=Parameter!$C$21,0.42*AQ13-Parameter!$C$27,0.45*AQ13-Parameter!$C$28)))))</f>
        <v>8276.78185820387</v>
      </c>
      <c r="AS13" s="43" t="n">
        <f aca="false">AR13+IF(AR13&lt;=(Parameter!$C$30*Parameter!$C$57*D13),0,MIN(Parameter!$C$29*AR13,Parameter!$C$31*(AR13-(Parameter!$C$30*Parameter!$C$57*D13))))+Eingaben!$C$16*AR13</f>
        <v>8276.78185820387</v>
      </c>
      <c r="AT13" s="43" t="n">
        <f aca="false">AI13+AK13-(AS13-J13)+AM13-AN13</f>
        <v>15974.2165247426</v>
      </c>
      <c r="AU13" s="43" t="n">
        <f aca="false">MAX(0,(AU12-AW12)*(1+Parameter!$C$62))</f>
        <v>135053.726125778</v>
      </c>
      <c r="AV13" s="43" t="n">
        <f aca="false">MAX(0,AV12-AV12*IF(AU12=0,0,AW12/AU12))</f>
        <v>55302.1900274925</v>
      </c>
      <c r="AW13" s="43" t="n">
        <f aca="false">IF(F13=0,0,MIN(AU13,Ansparphase!$BE$57*$CG$5))</f>
        <v>15960.3275243806</v>
      </c>
      <c r="AX13" s="43" t="n">
        <f aca="false">AW13-IF(AU13=0,0,AV13*AW13/AU13)</f>
        <v>9424.84649046754</v>
      </c>
      <c r="AY13" s="43" t="n">
        <f aca="false">MAX(0,AX13*(1-Parameter!$C$37)-Parameter!$C$67)*Parameter!$C$36</f>
        <v>1476.31228330257</v>
      </c>
      <c r="AZ13" s="43" t="n">
        <f aca="false">AW13-AY13</f>
        <v>14484.015241078</v>
      </c>
      <c r="BA13" s="41" t="n">
        <f aca="false">1/(1+Eingaben!$C$37)^C13</f>
        <v>0.530633303517793</v>
      </c>
      <c r="BB13" s="43" t="n">
        <f aca="false">IF(AND(Eingaben!$C$28=2,F13=0),(Ansparphase!$AW$57+Ansparphase!$AX$57)*Eingaben!$C$29/10000*12*(1+Eingaben!$C$30)^5,0)</f>
        <v>0</v>
      </c>
      <c r="BC13" s="41" t="n">
        <f aca="false">1/(1+Parameter!$C$68)^5</f>
        <v>0.763520913269449</v>
      </c>
    </row>
    <row r="14" customFormat="false" ht="15" hidden="false" customHeight="false" outlineLevel="0" collapsed="false">
      <c r="A14" s="30" t="n">
        <f aca="false">2026+C14</f>
        <v>2059</v>
      </c>
      <c r="B14" s="30" t="n">
        <f aca="false">Eingaben!$C$6+6</f>
        <v>73</v>
      </c>
      <c r="C14" s="30" t="n">
        <f aca="false">B14-Eingaben!$C$5</f>
        <v>33</v>
      </c>
      <c r="D14" s="38" t="n">
        <f aca="false">(1+Eingaben!$C$17)^C14</f>
        <v>1.92223140394315</v>
      </c>
      <c r="E14" s="38" t="n">
        <f aca="false">(1+Eingaben!$C$13)^C14</f>
        <v>2.25885086121712</v>
      </c>
      <c r="F14" s="30" t="n">
        <f aca="false">IF(B14&lt;=Eingaben!$C$7,1,0)</f>
        <v>1</v>
      </c>
      <c r="G14" s="40" t="n">
        <f aca="false">Eingaben!$C$40*(1+Eingaben!$C$37)^C14</f>
        <v>42289.0908867494</v>
      </c>
      <c r="H14" s="40" t="n">
        <f aca="false">MAX(0,(G14+IF(Eingaben!$C$14=3,Eingaben!$C$15,0))/Parameter!$C$57/D14)</f>
        <v>22000</v>
      </c>
      <c r="I14" s="40" t="n">
        <f aca="false">Parameter!$C$57*D14*(IF(H14&lt;=Parameter!$C$18,0,IF(H14&lt;=Parameter!$C$19,(Parameter!$C$22*(H14-Parameter!$C$18)/10000+Parameter!$C$23)*(H14-Parameter!$C$18)/10000,IF(H14&lt;=Parameter!$C$20,(Parameter!$C$24*(H14-Parameter!$C$19)/10000+Parameter!$C$25)*(H14-Parameter!$C$19)/10000+Parameter!$C$26,IF(H14&lt;=Parameter!$C$21,0.42*H14-Parameter!$C$27,0.45*H14-Parameter!$C$28)))))</f>
        <v>3983.63059717517</v>
      </c>
      <c r="J14" s="40" t="n">
        <f aca="false">I14+IF(I14&lt;=(Parameter!$C$30*Parameter!$C$57*D14),0,MIN(Parameter!$C$29*I14,Parameter!$C$31*(I14-(Parameter!$C$30*Parameter!$C$57*D14))))+Eingaben!$C$16*I14</f>
        <v>3983.63059717517</v>
      </c>
      <c r="K14" s="40" t="n">
        <f aca="false">IF(Eingaben!$C$28=1,IF(0=1,Ansparphase!$AW$57,0),(Ansparphase!$AW$57+Ansparphase!$AX$57)*Eingaben!$C$29/10000*12*(1+Eingaben!$C$30)^6*F14*IF((Ansparphase!$AW$57+Ansparphase!$AX$57)=0,0,Ansparphase!$AW$57/(Ansparphase!$AW$57+Ansparphase!$AX$57)))</f>
        <v>0</v>
      </c>
      <c r="L14" s="40" t="n">
        <f aca="false">IF(Eingaben!$C$28=1,IF(0=1,Ansparphase!$AX$57,0),(Ansparphase!$AW$57+Ansparphase!$AX$57)*Eingaben!$C$29/10000*12*(1+Eingaben!$C$30)^6*F14*IF((Ansparphase!$AW$57+Ansparphase!$AX$57)=0,0,Ansparphase!$AX$57/(Ansparphase!$AW$57+Ansparphase!$AX$57)))</f>
        <v>0</v>
      </c>
      <c r="M14" s="40" t="n">
        <f aca="false">K14+L14</f>
        <v>0</v>
      </c>
      <c r="N14" s="40" t="n">
        <f aca="false">K14+L14*IF(Eingaben!$C$28=1,(1-IF(Ansparphase!$AX$57=0,1,MIN(1,$CG$8/Ansparphase!$AX$57)))*Parameter!$C$52,Parameter!$C$51)</f>
        <v>0</v>
      </c>
      <c r="O14" s="40" t="n">
        <f aca="false">IF(Eingaben!$C$28=1,IF(6&lt;10,(Ansparphase!$AW$57+Ansparphase!$AX$57)/120,0),M14/12)</f>
        <v>2727.74289657404</v>
      </c>
      <c r="P14" s="40" t="n">
        <f aca="false">Eingaben!$C$41/12*(1+Eingaben!$C$13)^C14</f>
        <v>4517.70172243424</v>
      </c>
      <c r="Q14" s="40" t="n">
        <f aca="false">MAX(0,MIN(O14,Parameter!$C$5/12*E14-P14))</f>
        <v>2727.74289657404</v>
      </c>
      <c r="R14" s="40" t="n">
        <f aca="false">IF(Eingaben!$C$39=2,0,MAX(0,Q14-Parameter!$C$7*E14)*Parameter!$C$54*12)</f>
        <v>4790.21579141354</v>
      </c>
      <c r="S14" s="40" t="n">
        <f aca="false">IF(Eingaben!$C$39=2,0,IF(O14&gt;Parameter!$C$7*E14,Q14*Parameter!$C$59*12,0))</f>
        <v>1178.38493131998</v>
      </c>
      <c r="T14" s="40" t="n">
        <f aca="false">R14+S14</f>
        <v>5968.60072273352</v>
      </c>
      <c r="U14" s="40" t="n">
        <f aca="false">Ansparphase!$BJ$57*Parameter!$C$9*12*(1+Eingaben!$C$13)^(Eingaben!$C$6-Eingaben!$C$5)*(1+Eingaben!$C$13)^6*F14</f>
        <v>1837.20241128505</v>
      </c>
      <c r="V14" s="40" t="n">
        <f aca="false">U14*Parameter!$C$66</f>
        <v>1791.27235100292</v>
      </c>
      <c r="W14" s="40" t="n">
        <f aca="false">IF(Eingaben!$C$39=2,0,U14*(Parameter!$C$53+Parameter!$C$59))</f>
        <v>226.894497793704</v>
      </c>
      <c r="X14" s="40" t="n">
        <f aca="false">MAX(0,G14-V14+N14-T14+W14)</f>
        <v>34756.1123108066</v>
      </c>
      <c r="Y14" s="40" t="n">
        <f aca="false">MAX(0,(X14+IF(Eingaben!$C$14=3,Eingaben!$C$15,0))/Parameter!$C$57/D14)</f>
        <v>18081.1281303125</v>
      </c>
      <c r="Z14" s="40" t="n">
        <f aca="false">Parameter!$C$57*D14*(IF(Y14&lt;=Parameter!$C$18,0,IF(Y14&lt;=Parameter!$C$19,(Parameter!$C$22*(Y14-Parameter!$C$18)/10000+Parameter!$C$23)*(Y14-Parameter!$C$18)/10000,IF(Y14&lt;=Parameter!$C$20,(Parameter!$C$24*(Y14-Parameter!$C$19)/10000+Parameter!$C$25)*(Y14-Parameter!$C$19)/10000+Parameter!$C$26,IF(Y14&lt;=Parameter!$C$21,0.42*Y14-Parameter!$C$27,0.45*Y14-Parameter!$C$28)))))</f>
        <v>2119.51749809873</v>
      </c>
      <c r="AA14" s="40" t="n">
        <f aca="false">Z14+IF(Z14&lt;=(Parameter!$C$30*Parameter!$C$57*D14),0,MIN(Parameter!$C$29*Z14,Parameter!$C$31*(Z14-(Parameter!$C$30*Parameter!$C$57*D14))))+Eingaben!$C$16*Z14</f>
        <v>2119.51749809873</v>
      </c>
      <c r="AB14" s="40" t="n">
        <f aca="false">MAX(0,G14-V14+N14/5-T14+W14)</f>
        <v>34756.1123108066</v>
      </c>
      <c r="AC14" s="40" t="n">
        <f aca="false">MAX(0,(AB14+IF(Eingaben!$C$14=3,Eingaben!$C$15,0))/Parameter!$C$57/D14)</f>
        <v>18081.1281303125</v>
      </c>
      <c r="AD14" s="40" t="n">
        <f aca="false">Parameter!$C$57*D14*(IF(AC14&lt;=Parameter!$C$18,0,IF(AC14&lt;=Parameter!$C$19,(Parameter!$C$22*(AC14-Parameter!$C$18)/10000+Parameter!$C$23)*(AC14-Parameter!$C$18)/10000,IF(AC14&lt;=Parameter!$C$20,(Parameter!$C$24*(AC14-Parameter!$C$19)/10000+Parameter!$C$25)*(AC14-Parameter!$C$19)/10000+Parameter!$C$26,IF(AC14&lt;=Parameter!$C$21,0.42*AC14-Parameter!$C$27,0.45*AC14-Parameter!$C$28)))))</f>
        <v>2119.51749809873</v>
      </c>
      <c r="AE14" s="40" t="n">
        <f aca="false">AD14+IF(AD14&lt;=(Parameter!$C$30*Parameter!$C$57*D14),0,MIN(Parameter!$C$29*AD14,Parameter!$C$31*(AD14-(Parameter!$C$30*Parameter!$C$57*D14))))+Eingaben!$C$16*AD14</f>
        <v>2119.51749809873</v>
      </c>
      <c r="AF14" s="40" t="n">
        <f aca="false">IF(AND(Eingaben!$C$31=1,Eingaben!$C$28=1,M14&gt;0),MIN(AA14-J14,5*(AE14-J14)),AA14-J14)</f>
        <v>-1864.11309907644</v>
      </c>
      <c r="AG14" s="40" t="n">
        <f aca="false">M14-T14-AF14-U14+W14</f>
        <v>-5714.79553714843</v>
      </c>
      <c r="AH14" s="40" t="n">
        <f aca="false">MAX(0,(AH13-AI13)*(1+Parameter!$C$61))</f>
        <v>118025.991636698</v>
      </c>
      <c r="AI14" s="40" t="n">
        <f aca="false">IF(F14=0,0,MIN(AH14,Ansparphase!$AY$57*IF(6=0,Eingaben!$C$42,0)+(Ansparphase!$AY$57*(1-Eingaben!$C$42))*$CG$4))</f>
        <v>14498.4392735929</v>
      </c>
      <c r="AJ14" s="40" t="n">
        <f aca="false">MAX(0,(AJ13-AK13)*(1+Parameter!$C$61))</f>
        <v>47598.4037441502</v>
      </c>
      <c r="AK14" s="40" t="n">
        <f aca="false">IF(F14=0,0,MIN(AJ14,Ansparphase!$AZ$57*IF(6=0,Eingaben!$C$42,0)+(Ansparphase!$AZ$57*(1-Eingaben!$C$42))*$CG$4))</f>
        <v>5847.03891604451</v>
      </c>
      <c r="AL14" s="40" t="n">
        <f aca="false">MAX(0,(AL13-AM13)*(1+Parameter!$C$62))</f>
        <v>0</v>
      </c>
      <c r="AM14" s="40" t="n">
        <f aca="false">IF(F14=0,0,MIN(AL14,Ansparphase!$BA$57*$CG$5))</f>
        <v>0</v>
      </c>
      <c r="AN14" s="40" t="n">
        <f aca="false">MAX(0,AM14*(1-IF(Ansparphase!$BA$57=0,1,MIN(1,Ansparphase!$BB$57/Ansparphase!$BA$57)))*(1-Parameter!$C$37))*Parameter!$C$36</f>
        <v>0</v>
      </c>
      <c r="AO14" s="40" t="n">
        <f aca="false">AI14+AK14*(1-IF(Ansparphase!$AZ$57=0,1,MIN(1,$CG$7/Ansparphase!$AZ$57)))*Parameter!$C$52</f>
        <v>16240.3218755518</v>
      </c>
      <c r="AP14" s="40" t="n">
        <f aca="false">MAX(0,G14+AO14)</f>
        <v>58529.4127623012</v>
      </c>
      <c r="AQ14" s="40" t="n">
        <f aca="false">MAX(0,(AP14+IF(Eingaben!$C$14=3,Eingaben!$C$15,0))/Parameter!$C$57/D14)</f>
        <v>30448.6820068788</v>
      </c>
      <c r="AR14" s="40" t="n">
        <f aca="false">Parameter!$C$57*D14*(IF(AQ14&lt;=Parameter!$C$18,0,IF(AQ14&lt;=Parameter!$C$19,(Parameter!$C$22*(AQ14-Parameter!$C$18)/10000+Parameter!$C$23)*(AQ14-Parameter!$C$18)/10000,IF(AQ14&lt;=Parameter!$C$20,(Parameter!$C$24*(AQ14-Parameter!$C$19)/10000+Parameter!$C$25)*(AQ14-Parameter!$C$19)/10000+Parameter!$C$26,IF(AQ14&lt;=Parameter!$C$21,0.42*AQ14-Parameter!$C$27,0.45*AQ14-Parameter!$C$28)))))</f>
        <v>8350.14207557727</v>
      </c>
      <c r="AS14" s="40" t="n">
        <f aca="false">AR14+IF(AR14&lt;=(Parameter!$C$30*Parameter!$C$57*D14),0,MIN(Parameter!$C$29*AR14,Parameter!$C$31*(AR14-(Parameter!$C$30*Parameter!$C$57*D14))))+Eingaben!$C$16*AR14</f>
        <v>8350.14207557727</v>
      </c>
      <c r="AT14" s="40" t="n">
        <f aca="false">AI14+AK14-(AS14-J14)+AM14-AN14</f>
        <v>15978.9667112353</v>
      </c>
      <c r="AU14" s="40" t="n">
        <f aca="false">MAX(0,(AU13-AW13)*(1+Parameter!$C$62))</f>
        <v>127191.749706293</v>
      </c>
      <c r="AV14" s="40" t="n">
        <f aca="false">MAX(0,AV13-AV13*IF(AU13=0,0,AW13/AU13))</f>
        <v>48766.7089935795</v>
      </c>
      <c r="AW14" s="40" t="n">
        <f aca="false">IF(F14=0,0,MIN(AU14,Ansparphase!$BE$57*$CG$5))</f>
        <v>15960.3275243806</v>
      </c>
      <c r="AX14" s="40" t="n">
        <f aca="false">AW14-IF(AU14=0,0,AV14*AW14/AU14)</f>
        <v>9840.96326041706</v>
      </c>
      <c r="AY14" s="40" t="n">
        <f aca="false">MAX(0,AX14*(1-Parameter!$C$37)-Parameter!$C$67)*Parameter!$C$36</f>
        <v>1553.1378419545</v>
      </c>
      <c r="AZ14" s="40" t="n">
        <f aca="false">AW14-AY14</f>
        <v>14407.1896824261</v>
      </c>
      <c r="BA14" s="38" t="n">
        <f aca="false">1/(1+Eingaben!$C$37)^C14</f>
        <v>0.520228728939013</v>
      </c>
      <c r="BB14" s="40" t="n">
        <f aca="false">IF(AND(Eingaben!$C$28=2,F14=0),(Ansparphase!$AW$57+Ansparphase!$AX$57)*Eingaben!$C$29/10000*12*(1+Eingaben!$C$30)^6,0)</f>
        <v>0</v>
      </c>
      <c r="BC14" s="38" t="n">
        <f aca="false">1/(1+Parameter!$C$68)^6</f>
        <v>0.723411027162889</v>
      </c>
    </row>
    <row r="15" customFormat="false" ht="15" hidden="false" customHeight="false" outlineLevel="0" collapsed="false">
      <c r="A15" s="32" t="n">
        <f aca="false">2026+C15</f>
        <v>2060</v>
      </c>
      <c r="B15" s="32" t="n">
        <f aca="false">Eingaben!$C$6+7</f>
        <v>74</v>
      </c>
      <c r="C15" s="32" t="n">
        <f aca="false">B15-Eingaben!$C$5</f>
        <v>34</v>
      </c>
      <c r="D15" s="41" t="n">
        <f aca="false">(1+Eingaben!$C$17)^C15</f>
        <v>1.96067603202202</v>
      </c>
      <c r="E15" s="41" t="n">
        <f aca="false">(1+Eingaben!$C$13)^C15</f>
        <v>2.31532213274755</v>
      </c>
      <c r="F15" s="32" t="n">
        <f aca="false">IF(B15&lt;=Eingaben!$C$7,1,0)</f>
        <v>1</v>
      </c>
      <c r="G15" s="43" t="n">
        <f aca="false">Eingaben!$C$40*(1+Eingaben!$C$37)^C15</f>
        <v>43134.8727044844</v>
      </c>
      <c r="H15" s="43" t="n">
        <f aca="false">MAX(0,(G15+IF(Eingaben!$C$14=3,Eingaben!$C$15,0))/Parameter!$C$57/D15)</f>
        <v>22000</v>
      </c>
      <c r="I15" s="43" t="n">
        <f aca="false">Parameter!$C$57*D15*(IF(H15&lt;=Parameter!$C$18,0,IF(H15&lt;=Parameter!$C$19,(Parameter!$C$22*(H15-Parameter!$C$18)/10000+Parameter!$C$23)*(H15-Parameter!$C$18)/10000,IF(H15&lt;=Parameter!$C$20,(Parameter!$C$24*(H15-Parameter!$C$19)/10000+Parameter!$C$25)*(H15-Parameter!$C$19)/10000+Parameter!$C$26,IF(H15&lt;=Parameter!$C$21,0.42*H15-Parameter!$C$27,0.45*H15-Parameter!$C$28)))))</f>
        <v>4063.30320911868</v>
      </c>
      <c r="J15" s="43" t="n">
        <f aca="false">I15+IF(I15&lt;=(Parameter!$C$30*Parameter!$C$57*D15),0,MIN(Parameter!$C$29*I15,Parameter!$C$31*(I15-(Parameter!$C$30*Parameter!$C$57*D15))))+Eingaben!$C$16*I15</f>
        <v>4063.30320911868</v>
      </c>
      <c r="K15" s="43" t="n">
        <f aca="false">IF(Eingaben!$C$28=1,IF(0=1,Ansparphase!$AW$57,0),(Ansparphase!$AW$57+Ansparphase!$AX$57)*Eingaben!$C$29/10000*12*(1+Eingaben!$C$30)^7*F15*IF((Ansparphase!$AW$57+Ansparphase!$AX$57)=0,0,Ansparphase!$AW$57/(Ansparphase!$AW$57+Ansparphase!$AX$57)))</f>
        <v>0</v>
      </c>
      <c r="L15" s="43" t="n">
        <f aca="false">IF(Eingaben!$C$28=1,IF(0=1,Ansparphase!$AX$57,0),(Ansparphase!$AW$57+Ansparphase!$AX$57)*Eingaben!$C$29/10000*12*(1+Eingaben!$C$30)^7*F15*IF((Ansparphase!$AW$57+Ansparphase!$AX$57)=0,0,Ansparphase!$AX$57/(Ansparphase!$AW$57+Ansparphase!$AX$57)))</f>
        <v>0</v>
      </c>
      <c r="M15" s="43" t="n">
        <f aca="false">K15+L15</f>
        <v>0</v>
      </c>
      <c r="N15" s="43" t="n">
        <f aca="false">K15+L15*IF(Eingaben!$C$28=1,(1-IF(Ansparphase!$AX$57=0,1,MIN(1,$CG$8/Ansparphase!$AX$57)))*Parameter!$C$52,Parameter!$C$51)</f>
        <v>0</v>
      </c>
      <c r="O15" s="43" t="n">
        <f aca="false">IF(Eingaben!$C$28=1,IF(7&lt;10,(Ansparphase!$AW$57+Ansparphase!$AX$57)/120,0),M15/12)</f>
        <v>2727.74289657404</v>
      </c>
      <c r="P15" s="43" t="n">
        <f aca="false">Eingaben!$C$41/12*(1+Eingaben!$C$13)^C15</f>
        <v>4630.6442654951</v>
      </c>
      <c r="Q15" s="43" t="n">
        <f aca="false">MAX(0,MIN(O15,Parameter!$C$5/12*E15-P15))</f>
        <v>2727.74289657404</v>
      </c>
      <c r="R15" s="43" t="n">
        <f aca="false">IF(Eingaben!$C$39=2,0,MAX(0,Q15-Parameter!$C$7*E15)*Parameter!$C$54*12)</f>
        <v>4766.76468412874</v>
      </c>
      <c r="S15" s="43" t="n">
        <f aca="false">IF(Eingaben!$C$39=2,0,IF(O15&gt;Parameter!$C$7*E15,Q15*Parameter!$C$59*12,0))</f>
        <v>1178.38493131998</v>
      </c>
      <c r="T15" s="43" t="n">
        <f aca="false">R15+S15</f>
        <v>5945.14961544873</v>
      </c>
      <c r="U15" s="43" t="n">
        <f aca="false">Ansparphase!$BJ$57*Parameter!$C$9*12*(1+Eingaben!$C$13)^(Eingaben!$C$6-Eingaben!$C$5)*(1+Eingaben!$C$13)^7*F15</f>
        <v>1883.13247156718</v>
      </c>
      <c r="V15" s="43" t="n">
        <f aca="false">U15*Parameter!$C$66</f>
        <v>1836.054159778</v>
      </c>
      <c r="W15" s="43" t="n">
        <f aca="false">IF(Eingaben!$C$39=2,0,U15*(Parameter!$C$53+Parameter!$C$59))</f>
        <v>232.566860238546</v>
      </c>
      <c r="X15" s="43" t="n">
        <f aca="false">MAX(0,G15-V15+N15-T15+W15)</f>
        <v>35586.2357894962</v>
      </c>
      <c r="Y15" s="43" t="n">
        <f aca="false">MAX(0,(X15+IF(Eingaben!$C$14=3,Eingaben!$C$15,0))/Parameter!$C$57/D15)</f>
        <v>18149.9825612682</v>
      </c>
      <c r="Z15" s="43" t="n">
        <f aca="false">Parameter!$C$57*D15*(IF(Y15&lt;=Parameter!$C$18,0,IF(Y15&lt;=Parameter!$C$19,(Parameter!$C$22*(Y15-Parameter!$C$18)/10000+Parameter!$C$23)*(Y15-Parameter!$C$18)/10000,IF(Y15&lt;=Parameter!$C$20,(Parameter!$C$24*(Y15-Parameter!$C$19)/10000+Parameter!$C$25)*(Y15-Parameter!$C$19)/10000+Parameter!$C$26,IF(Y15&lt;=Parameter!$C$21,0.42*Y15-Parameter!$C$27,0.45*Y15-Parameter!$C$28)))))</f>
        <v>2194.41559330723</v>
      </c>
      <c r="AA15" s="43" t="n">
        <f aca="false">Z15+IF(Z15&lt;=(Parameter!$C$30*Parameter!$C$57*D15),0,MIN(Parameter!$C$29*Z15,Parameter!$C$31*(Z15-(Parameter!$C$30*Parameter!$C$57*D15))))+Eingaben!$C$16*Z15</f>
        <v>2194.41559330723</v>
      </c>
      <c r="AB15" s="43" t="n">
        <f aca="false">MAX(0,G15-V15+N15/5-T15+W15)</f>
        <v>35586.2357894962</v>
      </c>
      <c r="AC15" s="43" t="n">
        <f aca="false">MAX(0,(AB15+IF(Eingaben!$C$14=3,Eingaben!$C$15,0))/Parameter!$C$57/D15)</f>
        <v>18149.9825612682</v>
      </c>
      <c r="AD15" s="43" t="n">
        <f aca="false">Parameter!$C$57*D15*(IF(AC15&lt;=Parameter!$C$18,0,IF(AC15&lt;=Parameter!$C$19,(Parameter!$C$22*(AC15-Parameter!$C$18)/10000+Parameter!$C$23)*(AC15-Parameter!$C$18)/10000,IF(AC15&lt;=Parameter!$C$20,(Parameter!$C$24*(AC15-Parameter!$C$19)/10000+Parameter!$C$25)*(AC15-Parameter!$C$19)/10000+Parameter!$C$26,IF(AC15&lt;=Parameter!$C$21,0.42*AC15-Parameter!$C$27,0.45*AC15-Parameter!$C$28)))))</f>
        <v>2194.41559330723</v>
      </c>
      <c r="AE15" s="43" t="n">
        <f aca="false">AD15+IF(AD15&lt;=(Parameter!$C$30*Parameter!$C$57*D15),0,MIN(Parameter!$C$29*AD15,Parameter!$C$31*(AD15-(Parameter!$C$30*Parameter!$C$57*D15))))+Eingaben!$C$16*AD15</f>
        <v>2194.41559330723</v>
      </c>
      <c r="AF15" s="43" t="n">
        <f aca="false">IF(AND(Eingaben!$C$31=1,Eingaben!$C$28=1,M15&gt;0),MIN(AA15-J15,5*(AE15-J15)),AA15-J15)</f>
        <v>-1868.88761581145</v>
      </c>
      <c r="AG15" s="43" t="n">
        <f aca="false">M15-T15-AF15-U15+W15</f>
        <v>-5726.82761096591</v>
      </c>
      <c r="AH15" s="43" t="n">
        <f aca="false">MAX(0,(AH14-AI14)*(1+Parameter!$C$61))</f>
        <v>110256.843266707</v>
      </c>
      <c r="AI15" s="43" t="n">
        <f aca="false">IF(F15=0,0,MIN(AH15,Ansparphase!$AY$57*IF(7=0,Eingaben!$C$42,0)+(Ansparphase!$AY$57*(1-Eingaben!$C$42))*$CG$4))</f>
        <v>14498.4392735929</v>
      </c>
      <c r="AJ15" s="43" t="n">
        <f aca="false">MAX(0,(AJ14-AK14)*(1+Parameter!$C$61))</f>
        <v>44465.2035419326</v>
      </c>
      <c r="AK15" s="43" t="n">
        <f aca="false">IF(F15=0,0,MIN(AJ15,Ansparphase!$AZ$57*IF(7=0,Eingaben!$C$42,0)+(Ansparphase!$AZ$57*(1-Eingaben!$C$42))*$CG$4))</f>
        <v>5847.03891604451</v>
      </c>
      <c r="AL15" s="43" t="n">
        <f aca="false">MAX(0,(AL14-AM14)*(1+Parameter!$C$62))</f>
        <v>0</v>
      </c>
      <c r="AM15" s="43" t="n">
        <f aca="false">IF(F15=0,0,MIN(AL15,Ansparphase!$BA$57*$CG$5))</f>
        <v>0</v>
      </c>
      <c r="AN15" s="43" t="n">
        <f aca="false">MAX(0,AM15*(1-IF(Ansparphase!$BA$57=0,1,MIN(1,Ansparphase!$BB$57/Ansparphase!$BA$57)))*(1-Parameter!$C$37))*Parameter!$C$36</f>
        <v>0</v>
      </c>
      <c r="AO15" s="43" t="n">
        <f aca="false">AI15+AK15*(1-IF(Ansparphase!$AZ$57=0,1,MIN(1,$CG$7/Ansparphase!$AZ$57)))*Parameter!$C$52</f>
        <v>16240.3218755518</v>
      </c>
      <c r="AP15" s="43" t="n">
        <f aca="false">MAX(0,G15+AO15)</f>
        <v>59375.1945800362</v>
      </c>
      <c r="AQ15" s="43" t="n">
        <f aca="false">MAX(0,(AP15+IF(Eingaben!$C$14=3,Eingaben!$C$15,0))/Parameter!$C$57/D15)</f>
        <v>30283.0215753713</v>
      </c>
      <c r="AR15" s="43" t="n">
        <f aca="false">Parameter!$C$57*D15*(IF(AQ15&lt;=Parameter!$C$18,0,IF(AQ15&lt;=Parameter!$C$19,(Parameter!$C$22*(AQ15-Parameter!$C$18)/10000+Parameter!$C$23)*(AQ15-Parameter!$C$18)/10000,IF(AQ15&lt;=Parameter!$C$20,(Parameter!$C$24*(AQ15-Parameter!$C$19)/10000+Parameter!$C$25)*(AQ15-Parameter!$C$19)/10000+Parameter!$C$26,IF(AQ15&lt;=Parameter!$C$21,0.42*AQ15-Parameter!$C$27,0.45*AQ15-Parameter!$C$28)))))</f>
        <v>8425.15764193962</v>
      </c>
      <c r="AS15" s="43" t="n">
        <f aca="false">AR15+IF(AR15&lt;=(Parameter!$C$30*Parameter!$C$57*D15),0,MIN(Parameter!$C$29*AR15,Parameter!$C$31*(AR15-(Parameter!$C$30*Parameter!$C$57*D15))))+Eingaben!$C$16*AR15</f>
        <v>8425.15764193962</v>
      </c>
      <c r="AT15" s="43" t="n">
        <f aca="false">AI15+AK15-(AS15-J15)+AM15-AN15</f>
        <v>15983.6237568165</v>
      </c>
      <c r="AU15" s="43" t="n">
        <f aca="false">MAX(0,(AU14-AW14)*(1+Parameter!$C$62))</f>
        <v>118795.158890282</v>
      </c>
      <c r="AV15" s="43" t="n">
        <f aca="false">MAX(0,AV14-AV14*IF(AU14=0,0,AW14/AU14))</f>
        <v>42647.3447296159</v>
      </c>
      <c r="AW15" s="43" t="n">
        <f aca="false">IF(F15=0,0,MIN(AU15,Ansparphase!$BE$57*$CG$5))</f>
        <v>15960.3275243806</v>
      </c>
      <c r="AX15" s="43" t="n">
        <f aca="false">AW15-IF(AU15=0,0,AV15*AW15/AU15)</f>
        <v>10230.58570419</v>
      </c>
      <c r="AY15" s="43" t="n">
        <f aca="false">MAX(0,AX15*(1-Parameter!$C$37)-Parameter!$C$67)*Parameter!$C$36</f>
        <v>1625.07188563608</v>
      </c>
      <c r="AZ15" s="43" t="n">
        <f aca="false">AW15-AY15</f>
        <v>14335.2556387445</v>
      </c>
      <c r="BA15" s="41" t="n">
        <f aca="false">1/(1+Eingaben!$C$37)^C15</f>
        <v>0.510028165626483</v>
      </c>
      <c r="BB15" s="43" t="n">
        <f aca="false">IF(AND(Eingaben!$C$28=2,F15=0),(Ansparphase!$AW$57+Ansparphase!$AX$57)*Eingaben!$C$29/10000*12*(1+Eingaben!$C$30)^7,0)</f>
        <v>0</v>
      </c>
      <c r="BC15" s="41" t="n">
        <f aca="false">1/(1+Parameter!$C$68)^7</f>
        <v>0.685408225401396</v>
      </c>
    </row>
    <row r="16" customFormat="false" ht="15" hidden="false" customHeight="false" outlineLevel="0" collapsed="false">
      <c r="A16" s="30" t="n">
        <f aca="false">2026+C16</f>
        <v>2061</v>
      </c>
      <c r="B16" s="30" t="n">
        <f aca="false">Eingaben!$C$6+8</f>
        <v>75</v>
      </c>
      <c r="C16" s="30" t="n">
        <f aca="false">B16-Eingaben!$C$5</f>
        <v>35</v>
      </c>
      <c r="D16" s="38" t="n">
        <f aca="false">(1+Eingaben!$C$17)^C16</f>
        <v>1.99988955266246</v>
      </c>
      <c r="E16" s="38" t="n">
        <f aca="false">(1+Eingaben!$C$13)^C16</f>
        <v>2.37320518606624</v>
      </c>
      <c r="F16" s="30" t="n">
        <f aca="false">IF(B16&lt;=Eingaben!$C$7,1,0)</f>
        <v>1</v>
      </c>
      <c r="G16" s="40" t="n">
        <f aca="false">Eingaben!$C$40*(1+Eingaben!$C$37)^C16</f>
        <v>43997.570158574</v>
      </c>
      <c r="H16" s="40" t="n">
        <f aca="false">MAX(0,(G16+IF(Eingaben!$C$14=3,Eingaben!$C$15,0))/Parameter!$C$57/D16)</f>
        <v>22000</v>
      </c>
      <c r="I16" s="40" t="n">
        <f aca="false">Parameter!$C$57*D16*(IF(H16&lt;=Parameter!$C$18,0,IF(H16&lt;=Parameter!$C$19,(Parameter!$C$22*(H16-Parameter!$C$18)/10000+Parameter!$C$23)*(H16-Parameter!$C$18)/10000,IF(H16&lt;=Parameter!$C$20,(Parameter!$C$24*(H16-Parameter!$C$19)/10000+Parameter!$C$25)*(H16-Parameter!$C$19)/10000+Parameter!$C$26,IF(H16&lt;=Parameter!$C$21,0.42*H16-Parameter!$C$27,0.45*H16-Parameter!$C$28)))))</f>
        <v>4144.56927330105</v>
      </c>
      <c r="J16" s="40" t="n">
        <f aca="false">I16+IF(I16&lt;=(Parameter!$C$30*Parameter!$C$57*D16),0,MIN(Parameter!$C$29*I16,Parameter!$C$31*(I16-(Parameter!$C$30*Parameter!$C$57*D16))))+Eingaben!$C$16*I16</f>
        <v>4144.56927330105</v>
      </c>
      <c r="K16" s="40" t="n">
        <f aca="false">IF(Eingaben!$C$28=1,IF(0=1,Ansparphase!$AW$57,0),(Ansparphase!$AW$57+Ansparphase!$AX$57)*Eingaben!$C$29/10000*12*(1+Eingaben!$C$30)^8*F16*IF((Ansparphase!$AW$57+Ansparphase!$AX$57)=0,0,Ansparphase!$AW$57/(Ansparphase!$AW$57+Ansparphase!$AX$57)))</f>
        <v>0</v>
      </c>
      <c r="L16" s="40" t="n">
        <f aca="false">IF(Eingaben!$C$28=1,IF(0=1,Ansparphase!$AX$57,0),(Ansparphase!$AW$57+Ansparphase!$AX$57)*Eingaben!$C$29/10000*12*(1+Eingaben!$C$30)^8*F16*IF((Ansparphase!$AW$57+Ansparphase!$AX$57)=0,0,Ansparphase!$AX$57/(Ansparphase!$AW$57+Ansparphase!$AX$57)))</f>
        <v>0</v>
      </c>
      <c r="M16" s="40" t="n">
        <f aca="false">K16+L16</f>
        <v>0</v>
      </c>
      <c r="N16" s="40" t="n">
        <f aca="false">K16+L16*IF(Eingaben!$C$28=1,(1-IF(Ansparphase!$AX$57=0,1,MIN(1,$CG$8/Ansparphase!$AX$57)))*Parameter!$C$52,Parameter!$C$51)</f>
        <v>0</v>
      </c>
      <c r="O16" s="40" t="n">
        <f aca="false">IF(Eingaben!$C$28=1,IF(8&lt;10,(Ansparphase!$AW$57+Ansparphase!$AX$57)/120,0),M16/12)</f>
        <v>2727.74289657404</v>
      </c>
      <c r="P16" s="40" t="n">
        <f aca="false">Eingaben!$C$41/12*(1+Eingaben!$C$13)^C16</f>
        <v>4746.41037213248</v>
      </c>
      <c r="Q16" s="40" t="n">
        <f aca="false">MAX(0,MIN(O16,Parameter!$C$5/12*E16-P16))</f>
        <v>2727.74289657404</v>
      </c>
      <c r="R16" s="40" t="n">
        <f aca="false">IF(Eingaben!$C$39=2,0,MAX(0,Q16-Parameter!$C$7*E16)*Parameter!$C$54*12)</f>
        <v>4742.72729916182</v>
      </c>
      <c r="S16" s="40" t="n">
        <f aca="false">IF(Eingaben!$C$39=2,0,IF(O16&gt;Parameter!$C$7*E16,Q16*Parameter!$C$59*12,0))</f>
        <v>1178.38493131998</v>
      </c>
      <c r="T16" s="40" t="n">
        <f aca="false">R16+S16</f>
        <v>5921.11223048181</v>
      </c>
      <c r="U16" s="40" t="n">
        <f aca="false">Ansparphase!$BJ$57*Parameter!$C$9*12*(1+Eingaben!$C$13)^(Eingaben!$C$6-Eingaben!$C$5)*(1+Eingaben!$C$13)^8*F16</f>
        <v>1930.21078335636</v>
      </c>
      <c r="V16" s="40" t="n">
        <f aca="false">U16*Parameter!$C$66</f>
        <v>1881.95551377245</v>
      </c>
      <c r="W16" s="40" t="n">
        <f aca="false">IF(Eingaben!$C$39=2,0,U16*(Parameter!$C$53+Parameter!$C$59))</f>
        <v>238.38103174451</v>
      </c>
      <c r="X16" s="40" t="n">
        <f aca="false">MAX(0,G16-V16+N16-T16+W16)</f>
        <v>36432.8834460643</v>
      </c>
      <c r="Y16" s="40" t="n">
        <f aca="false">MAX(0,(X16+IF(Eingaben!$C$14=3,Eingaben!$C$15,0))/Parameter!$C$57/D16)</f>
        <v>18217.447757333</v>
      </c>
      <c r="Z16" s="40" t="n">
        <f aca="false">Parameter!$C$57*D16*(IF(Y16&lt;=Parameter!$C$18,0,IF(Y16&lt;=Parameter!$C$19,(Parameter!$C$22*(Y16-Parameter!$C$18)/10000+Parameter!$C$23)*(Y16-Parameter!$C$18)/10000,IF(Y16&lt;=Parameter!$C$20,(Parameter!$C$24*(Y16-Parameter!$C$19)/10000+Parameter!$C$25)*(Y16-Parameter!$C$19)/10000+Parameter!$C$26,IF(Y16&lt;=Parameter!$C$21,0.42*Y16-Parameter!$C$27,0.45*Y16-Parameter!$C$28)))))</f>
        <v>2270.82463576798</v>
      </c>
      <c r="AA16" s="40" t="n">
        <f aca="false">Z16+IF(Z16&lt;=(Parameter!$C$30*Parameter!$C$57*D16),0,MIN(Parameter!$C$29*Z16,Parameter!$C$31*(Z16-(Parameter!$C$30*Parameter!$C$57*D16))))+Eingaben!$C$16*Z16</f>
        <v>2270.82463576798</v>
      </c>
      <c r="AB16" s="40" t="n">
        <f aca="false">MAX(0,G16-V16+N16/5-T16+W16)</f>
        <v>36432.8834460643</v>
      </c>
      <c r="AC16" s="40" t="n">
        <f aca="false">MAX(0,(AB16+IF(Eingaben!$C$14=3,Eingaben!$C$15,0))/Parameter!$C$57/D16)</f>
        <v>18217.447757333</v>
      </c>
      <c r="AD16" s="40" t="n">
        <f aca="false">Parameter!$C$57*D16*(IF(AC16&lt;=Parameter!$C$18,0,IF(AC16&lt;=Parameter!$C$19,(Parameter!$C$22*(AC16-Parameter!$C$18)/10000+Parameter!$C$23)*(AC16-Parameter!$C$18)/10000,IF(AC16&lt;=Parameter!$C$20,(Parameter!$C$24*(AC16-Parameter!$C$19)/10000+Parameter!$C$25)*(AC16-Parameter!$C$19)/10000+Parameter!$C$26,IF(AC16&lt;=Parameter!$C$21,0.42*AC16-Parameter!$C$27,0.45*AC16-Parameter!$C$28)))))</f>
        <v>2270.82463576798</v>
      </c>
      <c r="AE16" s="40" t="n">
        <f aca="false">AD16+IF(AD16&lt;=(Parameter!$C$30*Parameter!$C$57*D16),0,MIN(Parameter!$C$29*AD16,Parameter!$C$31*(AD16-(Parameter!$C$30*Parameter!$C$57*D16))))+Eingaben!$C$16*AD16</f>
        <v>2270.82463576798</v>
      </c>
      <c r="AF16" s="40" t="n">
        <f aca="false">IF(AND(Eingaben!$C$31=1,Eingaben!$C$28=1,M16&gt;0),MIN(AA16-J16,5*(AE16-J16)),AA16-J16)</f>
        <v>-1873.74463753307</v>
      </c>
      <c r="AG16" s="40" t="n">
        <f aca="false">M16-T16-AF16-U16+W16</f>
        <v>-5739.19734456058</v>
      </c>
      <c r="AH16" s="40" t="n">
        <f aca="false">MAX(0,(AH15-AI15)*(1+Parameter!$C$61))</f>
        <v>101982.700252667</v>
      </c>
      <c r="AI16" s="40" t="n">
        <f aca="false">IF(F16=0,0,MIN(AH16,Ansparphase!$AY$57*IF(8=0,Eingaben!$C$42,0)+(Ansparphase!$AY$57*(1-Eingaben!$C$42))*$CG$4))</f>
        <v>14498.4392735929</v>
      </c>
      <c r="AJ16" s="40" t="n">
        <f aca="false">MAX(0,(AJ15-AK15)*(1+Parameter!$C$61))</f>
        <v>41128.3453265708</v>
      </c>
      <c r="AK16" s="40" t="n">
        <f aca="false">IF(F16=0,0,MIN(AJ16,Ansparphase!$AZ$57*IF(8=0,Eingaben!$C$42,0)+(Ansparphase!$AZ$57*(1-Eingaben!$C$42))*$CG$4))</f>
        <v>5847.03891604451</v>
      </c>
      <c r="AL16" s="40" t="n">
        <f aca="false">MAX(0,(AL15-AM15)*(1+Parameter!$C$62))</f>
        <v>0</v>
      </c>
      <c r="AM16" s="40" t="n">
        <f aca="false">IF(F16=0,0,MIN(AL16,Ansparphase!$BA$57*$CG$5))</f>
        <v>0</v>
      </c>
      <c r="AN16" s="40" t="n">
        <f aca="false">MAX(0,AM16*(1-IF(Ansparphase!$BA$57=0,1,MIN(1,Ansparphase!$BB$57/Ansparphase!$BA$57)))*(1-Parameter!$C$37))*Parameter!$C$36</f>
        <v>0</v>
      </c>
      <c r="AO16" s="40" t="n">
        <f aca="false">AI16+AK16*(1-IF(Ansparphase!$AZ$57=0,1,MIN(1,$CG$7/Ansparphase!$AZ$57)))*Parameter!$C$52</f>
        <v>16240.3218755518</v>
      </c>
      <c r="AP16" s="40" t="n">
        <f aca="false">MAX(0,G16+AO16)</f>
        <v>60237.8920341259</v>
      </c>
      <c r="AQ16" s="40" t="n">
        <f aca="false">MAX(0,(AP16+IF(Eingaben!$C$14=3,Eingaben!$C$15,0))/Parameter!$C$57/D16)</f>
        <v>30120.609387619</v>
      </c>
      <c r="AR16" s="40" t="n">
        <f aca="false">Parameter!$C$57*D16*(IF(AQ16&lt;=Parameter!$C$18,0,IF(AQ16&lt;=Parameter!$C$19,(Parameter!$C$22*(AQ16-Parameter!$C$18)/10000+Parameter!$C$23)*(AQ16-Parameter!$C$18)/10000,IF(AQ16&lt;=Parameter!$C$20,(Parameter!$C$24*(AQ16-Parameter!$C$19)/10000+Parameter!$C$25)*(AQ16-Parameter!$C$19)/10000+Parameter!$C$26,IF(AQ16&lt;=Parameter!$C$21,0.42*AQ16-Parameter!$C$27,0.45*AQ16-Parameter!$C$28)))))</f>
        <v>8501.85797516008</v>
      </c>
      <c r="AS16" s="40" t="n">
        <f aca="false">AR16+IF(AR16&lt;=(Parameter!$C$30*Parameter!$C$57*D16),0,MIN(Parameter!$C$29*AR16,Parameter!$C$31*(AR16-(Parameter!$C$30*Parameter!$C$57*D16))))+Eingaben!$C$16*AR16</f>
        <v>8501.85797516008</v>
      </c>
      <c r="AT16" s="40" t="n">
        <f aca="false">AI16+AK16-(AS16-J16)+AM16-AN16</f>
        <v>15988.1894877784</v>
      </c>
      <c r="AU16" s="40" t="n">
        <f aca="false">MAX(0,(AU15-AW15)*(1+Parameter!$C$62))</f>
        <v>109827.599898783</v>
      </c>
      <c r="AV16" s="40" t="n">
        <f aca="false">MAX(0,AV15-AV15*IF(AU15=0,0,AW15/AU15))</f>
        <v>36917.6029094253</v>
      </c>
      <c r="AW16" s="40" t="n">
        <f aca="false">IF(F16=0,0,MIN(AU16,Ansparphase!$BE$57*$CG$5))</f>
        <v>15960.3275243806</v>
      </c>
      <c r="AX16" s="40" t="n">
        <f aca="false">AW16-IF(AU16=0,0,AV16*AW16/AU16)</f>
        <v>10595.4007264493</v>
      </c>
      <c r="AY16" s="40" t="n">
        <f aca="false">MAX(0,AX16*(1-Parameter!$C$37)-Parameter!$C$67)*Parameter!$C$36</f>
        <v>1692.42585912071</v>
      </c>
      <c r="AZ16" s="40" t="n">
        <f aca="false">AW16-AY16</f>
        <v>14267.9016652599</v>
      </c>
      <c r="BA16" s="38" t="n">
        <f aca="false">1/(1+Eingaben!$C$37)^C16</f>
        <v>0.500027613359297</v>
      </c>
      <c r="BB16" s="40" t="n">
        <f aca="false">IF(AND(Eingaben!$C$28=2,F16=0),(Ansparphase!$AW$57+Ansparphase!$AX$57)*Eingaben!$C$29/10000*12*(1+Eingaben!$C$30)^8,0)</f>
        <v>0</v>
      </c>
      <c r="BC16" s="38" t="n">
        <f aca="false">1/(1+Parameter!$C$68)^8</f>
        <v>0.649401816959185</v>
      </c>
    </row>
    <row r="17" customFormat="false" ht="15" hidden="false" customHeight="false" outlineLevel="0" collapsed="false">
      <c r="A17" s="32" t="n">
        <f aca="false">2026+C17</f>
        <v>2062</v>
      </c>
      <c r="B17" s="32" t="n">
        <f aca="false">Eingaben!$C$6+9</f>
        <v>76</v>
      </c>
      <c r="C17" s="32" t="n">
        <f aca="false">B17-Eingaben!$C$5</f>
        <v>36</v>
      </c>
      <c r="D17" s="41" t="n">
        <f aca="false">(1+Eingaben!$C$17)^C17</f>
        <v>2.03988734371571</v>
      </c>
      <c r="E17" s="41" t="n">
        <f aca="false">(1+Eingaben!$C$13)^C17</f>
        <v>2.43253531571789</v>
      </c>
      <c r="F17" s="32" t="n">
        <f aca="false">IF(B17&lt;=Eingaben!$C$7,1,0)</f>
        <v>1</v>
      </c>
      <c r="G17" s="43" t="n">
        <f aca="false">Eingaben!$C$40*(1+Eingaben!$C$37)^C17</f>
        <v>44877.5215617455</v>
      </c>
      <c r="H17" s="43" t="n">
        <f aca="false">MAX(0,(G17+IF(Eingaben!$C$14=3,Eingaben!$C$15,0))/Parameter!$C$57/D17)</f>
        <v>22000</v>
      </c>
      <c r="I17" s="43" t="n">
        <f aca="false">Parameter!$C$57*D17*(IF(H17&lt;=Parameter!$C$18,0,IF(H17&lt;=Parameter!$C$19,(Parameter!$C$22*(H17-Parameter!$C$18)/10000+Parameter!$C$23)*(H17-Parameter!$C$18)/10000,IF(H17&lt;=Parameter!$C$20,(Parameter!$C$24*(H17-Parameter!$C$19)/10000+Parameter!$C$25)*(H17-Parameter!$C$19)/10000+Parameter!$C$26,IF(H17&lt;=Parameter!$C$21,0.42*H17-Parameter!$C$27,0.45*H17-Parameter!$C$28)))))</f>
        <v>4227.46065876707</v>
      </c>
      <c r="J17" s="43" t="n">
        <f aca="false">I17+IF(I17&lt;=(Parameter!$C$30*Parameter!$C$57*D17),0,MIN(Parameter!$C$29*I17,Parameter!$C$31*(I17-(Parameter!$C$30*Parameter!$C$57*D17))))+Eingaben!$C$16*I17</f>
        <v>4227.46065876707</v>
      </c>
      <c r="K17" s="43" t="n">
        <f aca="false">IF(Eingaben!$C$28=1,IF(0=1,Ansparphase!$AW$57,0),(Ansparphase!$AW$57+Ansparphase!$AX$57)*Eingaben!$C$29/10000*12*(1+Eingaben!$C$30)^9*F17*IF((Ansparphase!$AW$57+Ansparphase!$AX$57)=0,0,Ansparphase!$AW$57/(Ansparphase!$AW$57+Ansparphase!$AX$57)))</f>
        <v>0</v>
      </c>
      <c r="L17" s="43" t="n">
        <f aca="false">IF(Eingaben!$C$28=1,IF(0=1,Ansparphase!$AX$57,0),(Ansparphase!$AW$57+Ansparphase!$AX$57)*Eingaben!$C$29/10000*12*(1+Eingaben!$C$30)^9*F17*IF((Ansparphase!$AW$57+Ansparphase!$AX$57)=0,0,Ansparphase!$AX$57/(Ansparphase!$AW$57+Ansparphase!$AX$57)))</f>
        <v>0</v>
      </c>
      <c r="M17" s="43" t="n">
        <f aca="false">K17+L17</f>
        <v>0</v>
      </c>
      <c r="N17" s="43" t="n">
        <f aca="false">K17+L17*IF(Eingaben!$C$28=1,(1-IF(Ansparphase!$AX$57=0,1,MIN(1,$CG$8/Ansparphase!$AX$57)))*Parameter!$C$52,Parameter!$C$51)</f>
        <v>0</v>
      </c>
      <c r="O17" s="43" t="n">
        <f aca="false">IF(Eingaben!$C$28=1,IF(9&lt;10,(Ansparphase!$AW$57+Ansparphase!$AX$57)/120,0),M17/12)</f>
        <v>2727.74289657404</v>
      </c>
      <c r="P17" s="43" t="n">
        <f aca="false">Eingaben!$C$41/12*(1+Eingaben!$C$13)^C17</f>
        <v>4865.07063143579</v>
      </c>
      <c r="Q17" s="43" t="n">
        <f aca="false">MAX(0,MIN(O17,Parameter!$C$5/12*E17-P17))</f>
        <v>2727.74289657404</v>
      </c>
      <c r="R17" s="43" t="n">
        <f aca="false">IF(Eingaben!$C$39=2,0,MAX(0,Q17-Parameter!$C$7*E17)*Parameter!$C$54*12)</f>
        <v>4718.08897957073</v>
      </c>
      <c r="S17" s="43" t="n">
        <f aca="false">IF(Eingaben!$C$39=2,0,IF(O17&gt;Parameter!$C$7*E17,Q17*Parameter!$C$59*12,0))</f>
        <v>1178.38493131998</v>
      </c>
      <c r="T17" s="43" t="n">
        <f aca="false">R17+S17</f>
        <v>5896.47391089071</v>
      </c>
      <c r="U17" s="43" t="n">
        <f aca="false">Ansparphase!$BJ$57*Parameter!$C$9*12*(1+Eingaben!$C$13)^(Eingaben!$C$6-Eingaben!$C$5)*(1+Eingaben!$C$13)^9*F17</f>
        <v>1978.46605294026</v>
      </c>
      <c r="V17" s="43" t="n">
        <f aca="false">U17*Parameter!$C$66</f>
        <v>1929.00440161676</v>
      </c>
      <c r="W17" s="43" t="n">
        <f aca="false">IF(Eingaben!$C$39=2,0,U17*(Parameter!$C$53+Parameter!$C$59))</f>
        <v>244.340557538123</v>
      </c>
      <c r="X17" s="43" t="n">
        <f aca="false">MAX(0,G17-V17+N17-T17+W17)</f>
        <v>37296.3838067762</v>
      </c>
      <c r="Y17" s="43" t="n">
        <f aca="false">MAX(0,(X17+IF(Eingaben!$C$14=3,Eingaben!$C$15,0))/Parameter!$C$57/D17)</f>
        <v>18283.5507665045</v>
      </c>
      <c r="Z17" s="43" t="n">
        <f aca="false">Parameter!$C$57*D17*(IF(Y17&lt;=Parameter!$C$18,0,IF(Y17&lt;=Parameter!$C$19,(Parameter!$C$22*(Y17-Parameter!$C$18)/10000+Parameter!$C$23)*(Y17-Parameter!$C$18)/10000,IF(Y17&lt;=Parameter!$C$20,(Parameter!$C$24*(Y17-Parameter!$C$19)/10000+Parameter!$C$25)*(Y17-Parameter!$C$19)/10000+Parameter!$C$26,IF(Y17&lt;=Parameter!$C$21,0.42*Y17-Parameter!$C$27,0.45*Y17-Parameter!$C$28)))))</f>
        <v>2348.77369302862</v>
      </c>
      <c r="AA17" s="43" t="n">
        <f aca="false">Z17+IF(Z17&lt;=(Parameter!$C$30*Parameter!$C$57*D17),0,MIN(Parameter!$C$29*Z17,Parameter!$C$31*(Z17-(Parameter!$C$30*Parameter!$C$57*D17))))+Eingaben!$C$16*Z17</f>
        <v>2348.77369302862</v>
      </c>
      <c r="AB17" s="43" t="n">
        <f aca="false">MAX(0,G17-V17+N17/5-T17+W17)</f>
        <v>37296.3838067762</v>
      </c>
      <c r="AC17" s="43" t="n">
        <f aca="false">MAX(0,(AB17+IF(Eingaben!$C$14=3,Eingaben!$C$15,0))/Parameter!$C$57/D17)</f>
        <v>18283.5507665045</v>
      </c>
      <c r="AD17" s="43" t="n">
        <f aca="false">Parameter!$C$57*D17*(IF(AC17&lt;=Parameter!$C$18,0,IF(AC17&lt;=Parameter!$C$19,(Parameter!$C$22*(AC17-Parameter!$C$18)/10000+Parameter!$C$23)*(AC17-Parameter!$C$18)/10000,IF(AC17&lt;=Parameter!$C$20,(Parameter!$C$24*(AC17-Parameter!$C$19)/10000+Parameter!$C$25)*(AC17-Parameter!$C$19)/10000+Parameter!$C$26,IF(AC17&lt;=Parameter!$C$21,0.42*AC17-Parameter!$C$27,0.45*AC17-Parameter!$C$28)))))</f>
        <v>2348.77369302862</v>
      </c>
      <c r="AE17" s="43" t="n">
        <f aca="false">AD17+IF(AD17&lt;=(Parameter!$C$30*Parameter!$C$57*D17),0,MIN(Parameter!$C$29*AD17,Parameter!$C$31*(AD17-(Parameter!$C$30*Parameter!$C$57*D17))))+Eingaben!$C$16*AD17</f>
        <v>2348.77369302862</v>
      </c>
      <c r="AF17" s="43" t="n">
        <f aca="false">IF(AND(Eingaben!$C$31=1,Eingaben!$C$28=1,M17&gt;0),MIN(AA17-J17,5*(AE17-J17)),AA17-J17)</f>
        <v>-1878.68696573845</v>
      </c>
      <c r="AG17" s="43" t="n">
        <f aca="false">M17-T17-AF17-U17+W17</f>
        <v>-5751.91244055441</v>
      </c>
      <c r="AH17" s="43" t="n">
        <f aca="false">MAX(0,(AH16-AI16)*(1+Parameter!$C$61))</f>
        <v>93170.7379427138</v>
      </c>
      <c r="AI17" s="43" t="n">
        <f aca="false">IF(F17=0,0,MIN(AH17,Ansparphase!$AY$57*IF(9=0,Eingaben!$C$42,0)+(Ansparphase!$AY$57*(1-Eingaben!$C$42))*$CG$4))</f>
        <v>14498.4392735929</v>
      </c>
      <c r="AJ17" s="43" t="n">
        <f aca="false">MAX(0,(AJ16-AK16)*(1+Parameter!$C$61))</f>
        <v>37574.5913272105</v>
      </c>
      <c r="AK17" s="43" t="n">
        <f aca="false">IF(F17=0,0,MIN(AJ17,Ansparphase!$AZ$57*IF(9=0,Eingaben!$C$42,0)+(Ansparphase!$AZ$57*(1-Eingaben!$C$42))*$CG$4))</f>
        <v>5847.03891604451</v>
      </c>
      <c r="AL17" s="43" t="n">
        <f aca="false">MAX(0,(AL16-AM16)*(1+Parameter!$C$62))</f>
        <v>0</v>
      </c>
      <c r="AM17" s="43" t="n">
        <f aca="false">IF(F17=0,0,MIN(AL17,Ansparphase!$BA$57*$CG$5))</f>
        <v>0</v>
      </c>
      <c r="AN17" s="43" t="n">
        <f aca="false">MAX(0,AM17*(1-IF(Ansparphase!$BA$57=0,1,MIN(1,Ansparphase!$BB$57/Ansparphase!$BA$57)))*(1-Parameter!$C$37))*Parameter!$C$36</f>
        <v>0</v>
      </c>
      <c r="AO17" s="43" t="n">
        <f aca="false">AI17+AK17*(1-IF(Ansparphase!$AZ$57=0,1,MIN(1,$CG$7/Ansparphase!$AZ$57)))*Parameter!$C$52</f>
        <v>16240.3218755518</v>
      </c>
      <c r="AP17" s="43" t="n">
        <f aca="false">MAX(0,G17+AO17)</f>
        <v>61117.8434372974</v>
      </c>
      <c r="AQ17" s="43" t="n">
        <f aca="false">MAX(0,(AP17+IF(Eingaben!$C$14=3,Eingaben!$C$15,0))/Parameter!$C$57/D17)</f>
        <v>29961.3817525676</v>
      </c>
      <c r="AR17" s="43" t="n">
        <f aca="false">Parameter!$C$57*D17*(IF(AQ17&lt;=Parameter!$C$18,0,IF(AQ17&lt;=Parameter!$C$19,(Parameter!$C$22*(AQ17-Parameter!$C$18)/10000+Parameter!$C$23)*(AQ17-Parameter!$C$18)/10000,IF(AQ17&lt;=Parameter!$C$20,(Parameter!$C$24*(AQ17-Parameter!$C$19)/10000+Parameter!$C$25)*(AQ17-Parameter!$C$19)/10000+Parameter!$C$26,IF(AQ17&lt;=Parameter!$C$21,0.42*AQ17-Parameter!$C$27,0.45*AQ17-Parameter!$C$28)))))</f>
        <v>8580.2731538007</v>
      </c>
      <c r="AS17" s="43" t="n">
        <f aca="false">AR17+IF(AR17&lt;=(Parameter!$C$30*Parameter!$C$57*D17),0,MIN(Parameter!$C$29*AR17,Parameter!$C$31*(AR17-(Parameter!$C$30*Parameter!$C$57*D17))))+Eingaben!$C$16*AR17</f>
        <v>8580.2731538007</v>
      </c>
      <c r="AT17" s="43" t="n">
        <f aca="false">AI17+AK17-(AS17-J17)+AM17-AN17</f>
        <v>15992.6656946038</v>
      </c>
      <c r="AU17" s="43" t="n">
        <f aca="false">MAX(0,(AU16-AW16)*(1+Parameter!$C$62))</f>
        <v>100250.246895862</v>
      </c>
      <c r="AV17" s="43" t="n">
        <f aca="false">MAX(0,AV16-AV16*IF(AU16=0,0,AW16/AU16))</f>
        <v>31552.676111494</v>
      </c>
      <c r="AW17" s="43" t="n">
        <f aca="false">IF(F17=0,0,MIN(AU17,Ansparphase!$BE$57*$CG$5))</f>
        <v>15960.3275243806</v>
      </c>
      <c r="AX17" s="43" t="n">
        <f aca="false">AW17-IF(AU17=0,0,AV17*AW17/AU17)</f>
        <v>10936.9878259431</v>
      </c>
      <c r="AY17" s="43" t="n">
        <f aca="false">MAX(0,AX17*(1-Parameter!$C$37)-Parameter!$C$67)*Parameter!$C$36</f>
        <v>1755.49137736474</v>
      </c>
      <c r="AZ17" s="43" t="n">
        <f aca="false">AW17-AY17</f>
        <v>14204.8361470159</v>
      </c>
      <c r="BA17" s="41" t="n">
        <f aca="false">1/(1+Eingaben!$C$37)^C17</f>
        <v>0.490223150352252</v>
      </c>
      <c r="BB17" s="43" t="n">
        <f aca="false">IF(AND(Eingaben!$C$28=2,F17=0),(Ansparphase!$AW$57+Ansparphase!$AX$57)*Eingaben!$C$29/10000*12*(1+Eingaben!$C$30)^9,0)</f>
        <v>0</v>
      </c>
      <c r="BC17" s="41" t="n">
        <f aca="false">1/(1+Parameter!$C$68)^9</f>
        <v>0.61528692571922</v>
      </c>
    </row>
    <row r="18" customFormat="false" ht="15" hidden="false" customHeight="false" outlineLevel="0" collapsed="false">
      <c r="A18" s="30" t="n">
        <f aca="false">2026+C18</f>
        <v>2063</v>
      </c>
      <c r="B18" s="30" t="n">
        <f aca="false">Eingaben!$C$6+10</f>
        <v>77</v>
      </c>
      <c r="C18" s="30" t="n">
        <f aca="false">B18-Eingaben!$C$5</f>
        <v>37</v>
      </c>
      <c r="D18" s="38" t="n">
        <f aca="false">(1+Eingaben!$C$17)^C18</f>
        <v>2.08068509059002</v>
      </c>
      <c r="E18" s="38" t="n">
        <f aca="false">(1+Eingaben!$C$13)^C18</f>
        <v>2.49334869861084</v>
      </c>
      <c r="F18" s="30" t="n">
        <f aca="false">IF(B18&lt;=Eingaben!$C$7,1,0)</f>
        <v>1</v>
      </c>
      <c r="G18" s="40" t="n">
        <f aca="false">Eingaben!$C$40*(1+Eingaben!$C$37)^C18</f>
        <v>45775.0719929804</v>
      </c>
      <c r="H18" s="40" t="n">
        <f aca="false">MAX(0,(G18+IF(Eingaben!$C$14=3,Eingaben!$C$15,0))/Parameter!$C$57/D18)</f>
        <v>22000</v>
      </c>
      <c r="I18" s="40" t="n">
        <f aca="false">Parameter!$C$57*D18*(IF(H18&lt;=Parameter!$C$18,0,IF(H18&lt;=Parameter!$C$19,(Parameter!$C$22*(H18-Parameter!$C$18)/10000+Parameter!$C$23)*(H18-Parameter!$C$18)/10000,IF(H18&lt;=Parameter!$C$20,(Parameter!$C$24*(H18-Parameter!$C$19)/10000+Parameter!$C$25)*(H18-Parameter!$C$19)/10000+Parameter!$C$26,IF(H18&lt;=Parameter!$C$21,0.42*H18-Parameter!$C$27,0.45*H18-Parameter!$C$28)))))</f>
        <v>4312.00987194241</v>
      </c>
      <c r="J18" s="40" t="n">
        <f aca="false">I18+IF(I18&lt;=(Parameter!$C$30*Parameter!$C$57*D18),0,MIN(Parameter!$C$29*I18,Parameter!$C$31*(I18-(Parameter!$C$30*Parameter!$C$57*D18))))+Eingaben!$C$16*I18</f>
        <v>4312.00987194241</v>
      </c>
      <c r="K18" s="40" t="n">
        <f aca="false">IF(Eingaben!$C$28=1,IF(0=1,Ansparphase!$AW$57,0),(Ansparphase!$AW$57+Ansparphase!$AX$57)*Eingaben!$C$29/10000*12*(1+Eingaben!$C$30)^10*F18*IF((Ansparphase!$AW$57+Ansparphase!$AX$57)=0,0,Ansparphase!$AW$57/(Ansparphase!$AW$57+Ansparphase!$AX$57)))</f>
        <v>0</v>
      </c>
      <c r="L18" s="40" t="n">
        <f aca="false">IF(Eingaben!$C$28=1,IF(0=1,Ansparphase!$AX$57,0),(Ansparphase!$AW$57+Ansparphase!$AX$57)*Eingaben!$C$29/10000*12*(1+Eingaben!$C$30)^10*F18*IF((Ansparphase!$AW$57+Ansparphase!$AX$57)=0,0,Ansparphase!$AX$57/(Ansparphase!$AW$57+Ansparphase!$AX$57)))</f>
        <v>0</v>
      </c>
      <c r="M18" s="40" t="n">
        <f aca="false">K18+L18</f>
        <v>0</v>
      </c>
      <c r="N18" s="40" t="n">
        <f aca="false">K18+L18*IF(Eingaben!$C$28=1,(1-IF(Ansparphase!$AX$57=0,1,MIN(1,$CG$8/Ansparphase!$AX$57)))*Parameter!$C$52,Parameter!$C$51)</f>
        <v>0</v>
      </c>
      <c r="O18" s="40" t="n">
        <f aca="false">IF(Eingaben!$C$28=1,IF(10&lt;10,(Ansparphase!$AW$57+Ansparphase!$AX$57)/120,0),M18/12)</f>
        <v>0</v>
      </c>
      <c r="P18" s="40" t="n">
        <f aca="false">Eingaben!$C$41/12*(1+Eingaben!$C$13)^C18</f>
        <v>4986.69739722168</v>
      </c>
      <c r="Q18" s="40" t="n">
        <f aca="false">MAX(0,MIN(O18,Parameter!$C$5/12*E18-P18))</f>
        <v>0</v>
      </c>
      <c r="R18" s="40" t="n">
        <f aca="false">IF(Eingaben!$C$39=2,0,MAX(0,Q18-Parameter!$C$7*E18)*Parameter!$C$54*12)</f>
        <v>0</v>
      </c>
      <c r="S18" s="40" t="n">
        <f aca="false">IF(Eingaben!$C$39=2,0,IF(O18&gt;Parameter!$C$7*E18,Q18*Parameter!$C$59*12,0))</f>
        <v>0</v>
      </c>
      <c r="T18" s="40" t="n">
        <f aca="false">R18+S18</f>
        <v>0</v>
      </c>
      <c r="U18" s="40" t="n">
        <f aca="false">Ansparphase!$BJ$57*Parameter!$C$9*12*(1+Eingaben!$C$13)^(Eingaben!$C$6-Eingaben!$C$5)*(1+Eingaben!$C$13)^10*F18</f>
        <v>2027.92770426377</v>
      </c>
      <c r="V18" s="40" t="n">
        <f aca="false">U18*Parameter!$C$66</f>
        <v>1977.22951165718</v>
      </c>
      <c r="W18" s="40" t="n">
        <f aca="false">IF(Eingaben!$C$39=2,0,U18*(Parameter!$C$53+Parameter!$C$59))</f>
        <v>250.449071476576</v>
      </c>
      <c r="X18" s="40" t="n">
        <f aca="false">MAX(0,G18-V18+N18-T18+W18)</f>
        <v>44048.2915527998</v>
      </c>
      <c r="Y18" s="40" t="n">
        <f aca="false">MAX(0,(X18+IF(Eingaben!$C$14=3,Eingaben!$C$15,0))/Parameter!$C$57/D18)</f>
        <v>21170.0904437726</v>
      </c>
      <c r="Z18" s="40" t="n">
        <f aca="false">Parameter!$C$57*D18*(IF(Y18&lt;=Parameter!$C$18,0,IF(Y18&lt;=Parameter!$C$19,(Parameter!$C$22*(Y18-Parameter!$C$18)/10000+Parameter!$C$23)*(Y18-Parameter!$C$18)/10000,IF(Y18&lt;=Parameter!$C$20,(Parameter!$C$24*(Y18-Parameter!$C$19)/10000+Parameter!$C$25)*(Y18-Parameter!$C$19)/10000+Parameter!$C$26,IF(Y18&lt;=Parameter!$C$21,0.42*Y18-Parameter!$C$27,0.45*Y18-Parameter!$C$28)))))</f>
        <v>3875.46719092507</v>
      </c>
      <c r="AA18" s="40" t="n">
        <f aca="false">Z18+IF(Z18&lt;=(Parameter!$C$30*Parameter!$C$57*D18),0,MIN(Parameter!$C$29*Z18,Parameter!$C$31*(Z18-(Parameter!$C$30*Parameter!$C$57*D18))))+Eingaben!$C$16*Z18</f>
        <v>3875.46719092507</v>
      </c>
      <c r="AB18" s="40" t="n">
        <f aca="false">MAX(0,G18-V18+N18/5-T18+W18)</f>
        <v>44048.2915527998</v>
      </c>
      <c r="AC18" s="40" t="n">
        <f aca="false">MAX(0,(AB18+IF(Eingaben!$C$14=3,Eingaben!$C$15,0))/Parameter!$C$57/D18)</f>
        <v>21170.0904437726</v>
      </c>
      <c r="AD18" s="40" t="n">
        <f aca="false">Parameter!$C$57*D18*(IF(AC18&lt;=Parameter!$C$18,0,IF(AC18&lt;=Parameter!$C$19,(Parameter!$C$22*(AC18-Parameter!$C$18)/10000+Parameter!$C$23)*(AC18-Parameter!$C$18)/10000,IF(AC18&lt;=Parameter!$C$20,(Parameter!$C$24*(AC18-Parameter!$C$19)/10000+Parameter!$C$25)*(AC18-Parameter!$C$19)/10000+Parameter!$C$26,IF(AC18&lt;=Parameter!$C$21,0.42*AC18-Parameter!$C$27,0.45*AC18-Parameter!$C$28)))))</f>
        <v>3875.46719092507</v>
      </c>
      <c r="AE18" s="40" t="n">
        <f aca="false">AD18+IF(AD18&lt;=(Parameter!$C$30*Parameter!$C$57*D18),0,MIN(Parameter!$C$29*AD18,Parameter!$C$31*(AD18-(Parameter!$C$30*Parameter!$C$57*D18))))+Eingaben!$C$16*AD18</f>
        <v>3875.46719092507</v>
      </c>
      <c r="AF18" s="40" t="n">
        <f aca="false">IF(AND(Eingaben!$C$31=1,Eingaben!$C$28=1,M18&gt;0),MIN(AA18-J18,5*(AE18-J18)),AA18-J18)</f>
        <v>-436.542681017342</v>
      </c>
      <c r="AG18" s="40" t="n">
        <f aca="false">M18-T18-AF18-U18+W18</f>
        <v>-1340.93595176985</v>
      </c>
      <c r="AH18" s="40" t="n">
        <f aca="false">MAX(0,(AH17-AI17)*(1+Parameter!$C$61))</f>
        <v>83785.9980826137</v>
      </c>
      <c r="AI18" s="40" t="n">
        <f aca="false">IF(F18=0,0,MIN(AH18,Ansparphase!$AY$57*IF(10=0,Eingaben!$C$42,0)+(Ansparphase!$AY$57*(1-Eingaben!$C$42))*$CG$4))</f>
        <v>14498.4392735929</v>
      </c>
      <c r="AJ18" s="40" t="n">
        <f aca="false">MAX(0,(AJ17-AK17)*(1+Parameter!$C$61))</f>
        <v>33789.8433178918</v>
      </c>
      <c r="AK18" s="40" t="n">
        <f aca="false">IF(F18=0,0,MIN(AJ18,Ansparphase!$AZ$57*IF(10=0,Eingaben!$C$42,0)+(Ansparphase!$AZ$57*(1-Eingaben!$C$42))*$CG$4))</f>
        <v>5847.03891604451</v>
      </c>
      <c r="AL18" s="40" t="n">
        <f aca="false">MAX(0,(AL17-AM17)*(1+Parameter!$C$62))</f>
        <v>0</v>
      </c>
      <c r="AM18" s="40" t="n">
        <f aca="false">IF(F18=0,0,MIN(AL18,Ansparphase!$BA$57*$CG$5))</f>
        <v>0</v>
      </c>
      <c r="AN18" s="40" t="n">
        <f aca="false">MAX(0,AM18*(1-IF(Ansparphase!$BA$57=0,1,MIN(1,Ansparphase!$BB$57/Ansparphase!$BA$57)))*(1-Parameter!$C$37))*Parameter!$C$36</f>
        <v>0</v>
      </c>
      <c r="AO18" s="40" t="n">
        <f aca="false">AI18+AK18*(1-IF(Ansparphase!$AZ$57=0,1,MIN(1,$CG$7/Ansparphase!$AZ$57)))*Parameter!$C$52</f>
        <v>16240.3218755518</v>
      </c>
      <c r="AP18" s="40" t="n">
        <f aca="false">MAX(0,G18+AO18)</f>
        <v>62015.3938685323</v>
      </c>
      <c r="AQ18" s="40" t="n">
        <f aca="false">MAX(0,(AP18+IF(Eingaben!$C$14=3,Eingaben!$C$15,0))/Parameter!$C$57/D18)</f>
        <v>29805.2762280075</v>
      </c>
      <c r="AR18" s="40" t="n">
        <f aca="false">Parameter!$C$57*D18*(IF(AQ18&lt;=Parameter!$C$18,0,IF(AQ18&lt;=Parameter!$C$19,(Parameter!$C$22*(AQ18-Parameter!$C$18)/10000+Parameter!$C$23)*(AQ18-Parameter!$C$18)/10000,IF(AQ18&lt;=Parameter!$C$20,(Parameter!$C$24*(AQ18-Parameter!$C$19)/10000+Parameter!$C$25)*(AQ18-Parameter!$C$19)/10000+Parameter!$C$26,IF(AQ18&lt;=Parameter!$C$21,0.42*AQ18-Parameter!$C$27,0.45*AQ18-Parameter!$C$28)))))</f>
        <v>8660.43392891192</v>
      </c>
      <c r="AS18" s="40" t="n">
        <f aca="false">AR18+IF(AR18&lt;=(Parameter!$C$30*Parameter!$C$57*D18),0,MIN(Parameter!$C$29*AR18,Parameter!$C$31*(AR18-(Parameter!$C$30*Parameter!$C$57*D18))))+Eingaben!$C$16*AR18</f>
        <v>8660.43392891192</v>
      </c>
      <c r="AT18" s="40" t="n">
        <f aca="false">AI18+AK18-(AS18-J18)+AM18-AN18</f>
        <v>15997.0541326679</v>
      </c>
      <c r="AU18" s="40" t="n">
        <f aca="false">MAX(0,(AU17-AW17)*(1+Parameter!$C$62))</f>
        <v>90021.6338887419</v>
      </c>
      <c r="AV18" s="40" t="n">
        <f aca="false">MAX(0,AV17-AV17*IF(AU17=0,0,AW17/AU17))</f>
        <v>26529.3364130565</v>
      </c>
      <c r="AW18" s="40" t="n">
        <f aca="false">IF(F18=0,0,MIN(AU18,Ansparphase!$BE$57*$CG$5))</f>
        <v>15960.3275243806</v>
      </c>
      <c r="AX18" s="40" t="n">
        <f aca="false">AW18-IF(AU18=0,0,AV18*AW18/AU18)</f>
        <v>11256.8259340833</v>
      </c>
      <c r="AY18" s="40" t="n">
        <f aca="false">MAX(0,AX18*(1-Parameter!$C$37)-Parameter!$C$67)*Parameter!$C$36</f>
        <v>1814.54148808013</v>
      </c>
      <c r="AZ18" s="40" t="n">
        <f aca="false">AW18-AY18</f>
        <v>14145.7860363005</v>
      </c>
      <c r="BA18" s="38" t="n">
        <f aca="false">1/(1+Eingaben!$C$37)^C18</f>
        <v>0.480610931717894</v>
      </c>
      <c r="BB18" s="40" t="n">
        <f aca="false">IF(AND(Eingaben!$C$28=2,F18=0),(Ansparphase!$AW$57+Ansparphase!$AX$57)*Eingaben!$C$29/10000*12*(1+Eingaben!$C$30)^10,0)</f>
        <v>0</v>
      </c>
      <c r="BC18" s="38" t="n">
        <f aca="false">1/(1+Parameter!$C$68)^10</f>
        <v>0.582964184999813</v>
      </c>
    </row>
    <row r="19" customFormat="false" ht="15" hidden="false" customHeight="false" outlineLevel="0" collapsed="false">
      <c r="A19" s="32" t="n">
        <f aca="false">2026+C19</f>
        <v>2064</v>
      </c>
      <c r="B19" s="32" t="n">
        <f aca="false">Eingaben!$C$6+11</f>
        <v>78</v>
      </c>
      <c r="C19" s="32" t="n">
        <f aca="false">B19-Eingaben!$C$5</f>
        <v>38</v>
      </c>
      <c r="D19" s="41" t="n">
        <f aca="false">(1+Eingaben!$C$17)^C19</f>
        <v>2.12229879240182</v>
      </c>
      <c r="E19" s="41" t="n">
        <f aca="false">(1+Eingaben!$C$13)^C19</f>
        <v>2.55568241607611</v>
      </c>
      <c r="F19" s="32" t="n">
        <f aca="false">IF(B19&lt;=Eingaben!$C$7,1,0)</f>
        <v>1</v>
      </c>
      <c r="G19" s="43" t="n">
        <f aca="false">Eingaben!$C$40*(1+Eingaben!$C$37)^C19</f>
        <v>46690.57343284</v>
      </c>
      <c r="H19" s="43" t="n">
        <f aca="false">MAX(0,(G19+IF(Eingaben!$C$14=3,Eingaben!$C$15,0))/Parameter!$C$57/D19)</f>
        <v>22000</v>
      </c>
      <c r="I19" s="43" t="n">
        <f aca="false">Parameter!$C$57*D19*(IF(H19&lt;=Parameter!$C$18,0,IF(H19&lt;=Parameter!$C$19,(Parameter!$C$22*(H19-Parameter!$C$18)/10000+Parameter!$C$23)*(H19-Parameter!$C$18)/10000,IF(H19&lt;=Parameter!$C$20,(Parameter!$C$24*(H19-Parameter!$C$19)/10000+Parameter!$C$25)*(H19-Parameter!$C$19)/10000+Parameter!$C$26,IF(H19&lt;=Parameter!$C$21,0.42*H19-Parameter!$C$27,0.45*H19-Parameter!$C$28)))))</f>
        <v>4398.25006938126</v>
      </c>
      <c r="J19" s="43" t="n">
        <f aca="false">I19+IF(I19&lt;=(Parameter!$C$30*Parameter!$C$57*D19),0,MIN(Parameter!$C$29*I19,Parameter!$C$31*(I19-(Parameter!$C$30*Parameter!$C$57*D19))))+Eingaben!$C$16*I19</f>
        <v>4398.25006938126</v>
      </c>
      <c r="K19" s="43" t="n">
        <f aca="false">IF(Eingaben!$C$28=1,IF(0=1,Ansparphase!$AW$57,0),(Ansparphase!$AW$57+Ansparphase!$AX$57)*Eingaben!$C$29/10000*12*(1+Eingaben!$C$30)^11*F19*IF((Ansparphase!$AW$57+Ansparphase!$AX$57)=0,0,Ansparphase!$AW$57/(Ansparphase!$AW$57+Ansparphase!$AX$57)))</f>
        <v>0</v>
      </c>
      <c r="L19" s="43" t="n">
        <f aca="false">IF(Eingaben!$C$28=1,IF(0=1,Ansparphase!$AX$57,0),(Ansparphase!$AW$57+Ansparphase!$AX$57)*Eingaben!$C$29/10000*12*(1+Eingaben!$C$30)^11*F19*IF((Ansparphase!$AW$57+Ansparphase!$AX$57)=0,0,Ansparphase!$AX$57/(Ansparphase!$AW$57+Ansparphase!$AX$57)))</f>
        <v>0</v>
      </c>
      <c r="M19" s="43" t="n">
        <f aca="false">K19+L19</f>
        <v>0</v>
      </c>
      <c r="N19" s="43" t="n">
        <f aca="false">K19+L19*IF(Eingaben!$C$28=1,(1-IF(Ansparphase!$AX$57=0,1,MIN(1,$CG$8/Ansparphase!$AX$57)))*Parameter!$C$52,Parameter!$C$51)</f>
        <v>0</v>
      </c>
      <c r="O19" s="43" t="n">
        <f aca="false">IF(Eingaben!$C$28=1,IF(11&lt;10,(Ansparphase!$AW$57+Ansparphase!$AX$57)/120,0),M19/12)</f>
        <v>0</v>
      </c>
      <c r="P19" s="43" t="n">
        <f aca="false">Eingaben!$C$41/12*(1+Eingaben!$C$13)^C19</f>
        <v>5111.36483215222</v>
      </c>
      <c r="Q19" s="43" t="n">
        <f aca="false">MAX(0,MIN(O19,Parameter!$C$5/12*E19-P19))</f>
        <v>0</v>
      </c>
      <c r="R19" s="43" t="n">
        <f aca="false">IF(Eingaben!$C$39=2,0,MAX(0,Q19-Parameter!$C$7*E19)*Parameter!$C$54*12)</f>
        <v>0</v>
      </c>
      <c r="S19" s="43" t="n">
        <f aca="false">IF(Eingaben!$C$39=2,0,IF(O19&gt;Parameter!$C$7*E19,Q19*Parameter!$C$59*12,0))</f>
        <v>0</v>
      </c>
      <c r="T19" s="43" t="n">
        <f aca="false">R19+S19</f>
        <v>0</v>
      </c>
      <c r="U19" s="43" t="n">
        <f aca="false">Ansparphase!$BJ$57*Parameter!$C$9*12*(1+Eingaben!$C$13)^(Eingaben!$C$6-Eingaben!$C$5)*(1+Eingaben!$C$13)^11*F19</f>
        <v>2078.62589687037</v>
      </c>
      <c r="V19" s="43" t="n">
        <f aca="false">U19*Parameter!$C$66</f>
        <v>2026.66024944861</v>
      </c>
      <c r="W19" s="43" t="n">
        <f aca="false">IF(Eingaben!$C$39=2,0,U19*(Parameter!$C$53+Parameter!$C$59))</f>
        <v>256.71029826349</v>
      </c>
      <c r="X19" s="43" t="n">
        <f aca="false">MAX(0,G19-V19+N19-T19+W19)</f>
        <v>44920.6234816549</v>
      </c>
      <c r="Y19" s="43" t="n">
        <f aca="false">MAX(0,(X19+IF(Eingaben!$C$14=3,Eingaben!$C$15,0))/Parameter!$C$57/D19)</f>
        <v>21166.0222596734</v>
      </c>
      <c r="Z19" s="43" t="n">
        <f aca="false">Parameter!$C$57*D19*(IF(Y19&lt;=Parameter!$C$18,0,IF(Y19&lt;=Parameter!$C$19,(Parameter!$C$22*(Y19-Parameter!$C$18)/10000+Parameter!$C$23)*(Y19-Parameter!$C$18)/10000,IF(Y19&lt;=Parameter!$C$20,(Parameter!$C$24*(Y19-Parameter!$C$19)/10000+Parameter!$C$25)*(Y19-Parameter!$C$19)/10000+Parameter!$C$26,IF(Y19&lt;=Parameter!$C$21,0.42*Y19-Parameter!$C$27,0.45*Y19-Parameter!$C$28)))))</f>
        <v>3950.80628537326</v>
      </c>
      <c r="AA19" s="43" t="n">
        <f aca="false">Z19+IF(Z19&lt;=(Parameter!$C$30*Parameter!$C$57*D19),0,MIN(Parameter!$C$29*Z19,Parameter!$C$31*(Z19-(Parameter!$C$30*Parameter!$C$57*D19))))+Eingaben!$C$16*Z19</f>
        <v>3950.80628537326</v>
      </c>
      <c r="AB19" s="43" t="n">
        <f aca="false">MAX(0,G19-V19+N19/5-T19+W19)</f>
        <v>44920.6234816549</v>
      </c>
      <c r="AC19" s="43" t="n">
        <f aca="false">MAX(0,(AB19+IF(Eingaben!$C$14=3,Eingaben!$C$15,0))/Parameter!$C$57/D19)</f>
        <v>21166.0222596734</v>
      </c>
      <c r="AD19" s="43" t="n">
        <f aca="false">Parameter!$C$57*D19*(IF(AC19&lt;=Parameter!$C$18,0,IF(AC19&lt;=Parameter!$C$19,(Parameter!$C$22*(AC19-Parameter!$C$18)/10000+Parameter!$C$23)*(AC19-Parameter!$C$18)/10000,IF(AC19&lt;=Parameter!$C$20,(Parameter!$C$24*(AC19-Parameter!$C$19)/10000+Parameter!$C$25)*(AC19-Parameter!$C$19)/10000+Parameter!$C$26,IF(AC19&lt;=Parameter!$C$21,0.42*AC19-Parameter!$C$27,0.45*AC19-Parameter!$C$28)))))</f>
        <v>3950.80628537326</v>
      </c>
      <c r="AE19" s="43" t="n">
        <f aca="false">AD19+IF(AD19&lt;=(Parameter!$C$30*Parameter!$C$57*D19),0,MIN(Parameter!$C$29*AD19,Parameter!$C$31*(AD19-(Parameter!$C$30*Parameter!$C$57*D19))))+Eingaben!$C$16*AD19</f>
        <v>3950.80628537326</v>
      </c>
      <c r="AF19" s="43" t="n">
        <f aca="false">IF(AND(Eingaben!$C$31=1,Eingaben!$C$28=1,M19&gt;0),MIN(AA19-J19,5*(AE19-J19)),AA19-J19)</f>
        <v>-447.443784008005</v>
      </c>
      <c r="AG19" s="43" t="n">
        <f aca="false">M19-T19-AF19-U19+W19</f>
        <v>-1374.47181459887</v>
      </c>
      <c r="AH19" s="43" t="n">
        <f aca="false">MAX(0,(AH18-AI18)*(1+Parameter!$C$61))</f>
        <v>73791.2501316072</v>
      </c>
      <c r="AI19" s="43" t="n">
        <f aca="false">IF(F19=0,0,MIN(AH19,Ansparphase!$AY$57*IF(11=0,Eingaben!$C$42,0)+(Ansparphase!$AY$57*(1-Eingaben!$C$42))*$CG$4))</f>
        <v>14498.4392735929</v>
      </c>
      <c r="AJ19" s="43" t="n">
        <f aca="false">MAX(0,(AJ18-AK18)*(1+Parameter!$C$61))</f>
        <v>29759.0866879673</v>
      </c>
      <c r="AK19" s="43" t="n">
        <f aca="false">IF(F19=0,0,MIN(AJ19,Ansparphase!$AZ$57*IF(11=0,Eingaben!$C$42,0)+(Ansparphase!$AZ$57*(1-Eingaben!$C$42))*$CG$4))</f>
        <v>5847.03891604451</v>
      </c>
      <c r="AL19" s="43" t="n">
        <f aca="false">MAX(0,(AL18-AM18)*(1+Parameter!$C$62))</f>
        <v>0</v>
      </c>
      <c r="AM19" s="43" t="n">
        <f aca="false">IF(F19=0,0,MIN(AL19,Ansparphase!$BA$57*$CG$5))</f>
        <v>0</v>
      </c>
      <c r="AN19" s="43" t="n">
        <f aca="false">MAX(0,AM19*(1-IF(Ansparphase!$BA$57=0,1,MIN(1,Ansparphase!$BB$57/Ansparphase!$BA$57)))*(1-Parameter!$C$37))*Parameter!$C$36</f>
        <v>0</v>
      </c>
      <c r="AO19" s="43" t="n">
        <f aca="false">AI19+AK19*(1-IF(Ansparphase!$AZ$57=0,1,MIN(1,$CG$7/Ansparphase!$AZ$57)))*Parameter!$C$52</f>
        <v>16240.3218755518</v>
      </c>
      <c r="AP19" s="43" t="n">
        <f aca="false">MAX(0,G19+AO19)</f>
        <v>62930.8953083919</v>
      </c>
      <c r="AQ19" s="43" t="n">
        <f aca="false">MAX(0,(AP19+IF(Eingaben!$C$14=3,Eingaben!$C$15,0))/Parameter!$C$57/D19)</f>
        <v>29652.2315960858</v>
      </c>
      <c r="AR19" s="43" t="n">
        <f aca="false">Parameter!$C$57*D19*(IF(AQ19&lt;=Parameter!$C$18,0,IF(AQ19&lt;=Parameter!$C$19,(Parameter!$C$22*(AQ19-Parameter!$C$18)/10000+Parameter!$C$23)*(AQ19-Parameter!$C$18)/10000,IF(AQ19&lt;=Parameter!$C$20,(Parameter!$C$24*(AQ19-Parameter!$C$19)/10000+Parameter!$C$25)*(AQ19-Parameter!$C$19)/10000+Parameter!$C$26,IF(AQ19&lt;=Parameter!$C$21,0.42*AQ19-Parameter!$C$27,0.45*AQ19-Parameter!$C$28)))))</f>
        <v>8742.37173609182</v>
      </c>
      <c r="AS19" s="43" t="n">
        <f aca="false">AR19+IF(AR19&lt;=(Parameter!$C$30*Parameter!$C$57*D19),0,MIN(Parameter!$C$29*AR19,Parameter!$C$31*(AR19-(Parameter!$C$30*Parameter!$C$57*D19))))+Eingaben!$C$16*AR19</f>
        <v>8742.37173609182</v>
      </c>
      <c r="AT19" s="43" t="n">
        <f aca="false">AI19+AK19-(AS19-J19)+AM19-AN19</f>
        <v>16001.3565229269</v>
      </c>
      <c r="AU19" s="43" t="n">
        <f aca="false">MAX(0,(AU18-AW18)*(1+Parameter!$C$62))</f>
        <v>79097.4751971379</v>
      </c>
      <c r="AV19" s="43" t="n">
        <f aca="false">MAX(0,AV18-AV18*IF(AU18=0,0,AW18/AU18))</f>
        <v>21825.8348227592</v>
      </c>
      <c r="AW19" s="43" t="n">
        <f aca="false">IF(F19=0,0,MIN(AU19,Ansparphase!$BE$57*$CG$5))</f>
        <v>15960.3275243806</v>
      </c>
      <c r="AX19" s="43" t="n">
        <f aca="false">AW19-IF(AU19=0,0,AV19*AW19/AU19)</f>
        <v>11556.2998181097</v>
      </c>
      <c r="AY19" s="43" t="n">
        <f aca="false">MAX(0,AX19*(1-Parameter!$C$37)-Parameter!$C$67)*Parameter!$C$36</f>
        <v>1869.83185391851</v>
      </c>
      <c r="AZ19" s="43" t="n">
        <f aca="false">AW19-AY19</f>
        <v>14090.4956704621</v>
      </c>
      <c r="BA19" s="41" t="n">
        <f aca="false">1/(1+Eingaben!$C$37)^C19</f>
        <v>0.47118718795872</v>
      </c>
      <c r="BB19" s="43" t="n">
        <f aca="false">IF(AND(Eingaben!$C$28=2,F19=0),(Ansparphase!$AW$57+Ansparphase!$AX$57)*Eingaben!$C$29/10000*12*(1+Eingaben!$C$30)^11,0)</f>
        <v>0</v>
      </c>
      <c r="BC19" s="41" t="n">
        <f aca="false">1/(1+Parameter!$C$68)^11</f>
        <v>0.552339448128599</v>
      </c>
    </row>
    <row r="20" customFormat="false" ht="15" hidden="false" customHeight="false" outlineLevel="0" collapsed="false">
      <c r="A20" s="30" t="n">
        <f aca="false">2026+C20</f>
        <v>2065</v>
      </c>
      <c r="B20" s="30" t="n">
        <f aca="false">Eingaben!$C$6+12</f>
        <v>79</v>
      </c>
      <c r="C20" s="30" t="n">
        <f aca="false">B20-Eingaben!$C$5</f>
        <v>39</v>
      </c>
      <c r="D20" s="38" t="n">
        <f aca="false">(1+Eingaben!$C$17)^C20</f>
        <v>2.16474476824986</v>
      </c>
      <c r="E20" s="38" t="n">
        <f aca="false">(1+Eingaben!$C$13)^C20</f>
        <v>2.61957447647801</v>
      </c>
      <c r="F20" s="30" t="n">
        <f aca="false">IF(B20&lt;=Eingaben!$C$7,1,0)</f>
        <v>1</v>
      </c>
      <c r="G20" s="40" t="n">
        <f aca="false">Eingaben!$C$40*(1+Eingaben!$C$37)^C20</f>
        <v>47624.3849014968</v>
      </c>
      <c r="H20" s="40" t="n">
        <f aca="false">MAX(0,(G20+IF(Eingaben!$C$14=3,Eingaben!$C$15,0))/Parameter!$C$57/D20)</f>
        <v>22000</v>
      </c>
      <c r="I20" s="40" t="n">
        <f aca="false">Parameter!$C$57*D20*(IF(H20&lt;=Parameter!$C$18,0,IF(H20&lt;=Parameter!$C$19,(Parameter!$C$22*(H20-Parameter!$C$18)/10000+Parameter!$C$23)*(H20-Parameter!$C$18)/10000,IF(H20&lt;=Parameter!$C$20,(Parameter!$C$24*(H20-Parameter!$C$19)/10000+Parameter!$C$25)*(H20-Parameter!$C$19)/10000+Parameter!$C$26,IF(H20&lt;=Parameter!$C$21,0.42*H20-Parameter!$C$27,0.45*H20-Parameter!$C$28)))))</f>
        <v>4486.21507076889</v>
      </c>
      <c r="J20" s="40" t="n">
        <f aca="false">I20+IF(I20&lt;=(Parameter!$C$30*Parameter!$C$57*D20),0,MIN(Parameter!$C$29*I20,Parameter!$C$31*(I20-(Parameter!$C$30*Parameter!$C$57*D20))))+Eingaben!$C$16*I20</f>
        <v>4486.21507076889</v>
      </c>
      <c r="K20" s="40" t="n">
        <f aca="false">IF(Eingaben!$C$28=1,IF(0=1,Ansparphase!$AW$57,0),(Ansparphase!$AW$57+Ansparphase!$AX$57)*Eingaben!$C$29/10000*12*(1+Eingaben!$C$30)^12*F20*IF((Ansparphase!$AW$57+Ansparphase!$AX$57)=0,0,Ansparphase!$AW$57/(Ansparphase!$AW$57+Ansparphase!$AX$57)))</f>
        <v>0</v>
      </c>
      <c r="L20" s="40" t="n">
        <f aca="false">IF(Eingaben!$C$28=1,IF(0=1,Ansparphase!$AX$57,0),(Ansparphase!$AW$57+Ansparphase!$AX$57)*Eingaben!$C$29/10000*12*(1+Eingaben!$C$30)^12*F20*IF((Ansparphase!$AW$57+Ansparphase!$AX$57)=0,0,Ansparphase!$AX$57/(Ansparphase!$AW$57+Ansparphase!$AX$57)))</f>
        <v>0</v>
      </c>
      <c r="M20" s="40" t="n">
        <f aca="false">K20+L20</f>
        <v>0</v>
      </c>
      <c r="N20" s="40" t="n">
        <f aca="false">K20+L20*IF(Eingaben!$C$28=1,(1-IF(Ansparphase!$AX$57=0,1,MIN(1,$CG$8/Ansparphase!$AX$57)))*Parameter!$C$52,Parameter!$C$51)</f>
        <v>0</v>
      </c>
      <c r="O20" s="40" t="n">
        <f aca="false">IF(Eingaben!$C$28=1,IF(12&lt;10,(Ansparphase!$AW$57+Ansparphase!$AX$57)/120,0),M20/12)</f>
        <v>0</v>
      </c>
      <c r="P20" s="40" t="n">
        <f aca="false">Eingaben!$C$41/12*(1+Eingaben!$C$13)^C20</f>
        <v>5239.14895295603</v>
      </c>
      <c r="Q20" s="40" t="n">
        <f aca="false">MAX(0,MIN(O20,Parameter!$C$5/12*E20-P20))</f>
        <v>0</v>
      </c>
      <c r="R20" s="40" t="n">
        <f aca="false">IF(Eingaben!$C$39=2,0,MAX(0,Q20-Parameter!$C$7*E20)*Parameter!$C$54*12)</f>
        <v>0</v>
      </c>
      <c r="S20" s="40" t="n">
        <f aca="false">IF(Eingaben!$C$39=2,0,IF(O20&gt;Parameter!$C$7*E20,Q20*Parameter!$C$59*12,0))</f>
        <v>0</v>
      </c>
      <c r="T20" s="40" t="n">
        <f aca="false">R20+S20</f>
        <v>0</v>
      </c>
      <c r="U20" s="40" t="n">
        <f aca="false">Ansparphase!$BJ$57*Parameter!$C$9*12*(1+Eingaben!$C$13)^(Eingaben!$C$6-Eingaben!$C$5)*(1+Eingaben!$C$13)^12*F20</f>
        <v>2130.59154429212</v>
      </c>
      <c r="V20" s="40" t="n">
        <f aca="false">U20*Parameter!$C$66</f>
        <v>2077.32675568482</v>
      </c>
      <c r="W20" s="40" t="n">
        <f aca="false">IF(Eingaben!$C$39=2,0,U20*(Parameter!$C$53+Parameter!$C$59))</f>
        <v>263.128055720077</v>
      </c>
      <c r="X20" s="40" t="n">
        <f aca="false">MAX(0,G20-V20+N20-T20+W20)</f>
        <v>45810.1862015321</v>
      </c>
      <c r="Y20" s="40" t="n">
        <f aca="false">MAX(0,(X20+IF(Eingaben!$C$14=3,Eingaben!$C$15,0))/Parameter!$C$57/D20)</f>
        <v>21161.9341334953</v>
      </c>
      <c r="Z20" s="40" t="n">
        <f aca="false">Parameter!$C$57*D20*(IF(Y20&lt;=Parameter!$C$18,0,IF(Y20&lt;=Parameter!$C$19,(Parameter!$C$22*(Y20-Parameter!$C$18)/10000+Parameter!$C$23)*(Y20-Parameter!$C$18)/10000,IF(Y20&lt;=Parameter!$C$20,(Parameter!$C$24*(Y20-Parameter!$C$19)/10000+Parameter!$C$25)*(Y20-Parameter!$C$19)/10000+Parameter!$C$26,IF(Y20&lt;=Parameter!$C$21,0.42*Y20-Parameter!$C$27,0.45*Y20-Parameter!$C$28)))))</f>
        <v>4027.59803042199</v>
      </c>
      <c r="AA20" s="40" t="n">
        <f aca="false">Z20+IF(Z20&lt;=(Parameter!$C$30*Parameter!$C$57*D20),0,MIN(Parameter!$C$29*Z20,Parameter!$C$31*(Z20-(Parameter!$C$30*Parameter!$C$57*D20))))+Eingaben!$C$16*Z20</f>
        <v>4027.59803042199</v>
      </c>
      <c r="AB20" s="40" t="n">
        <f aca="false">MAX(0,G20-V20+N20/5-T20+W20)</f>
        <v>45810.1862015321</v>
      </c>
      <c r="AC20" s="40" t="n">
        <f aca="false">MAX(0,(AB20+IF(Eingaben!$C$14=3,Eingaben!$C$15,0))/Parameter!$C$57/D20)</f>
        <v>21161.9341334953</v>
      </c>
      <c r="AD20" s="40" t="n">
        <f aca="false">Parameter!$C$57*D20*(IF(AC20&lt;=Parameter!$C$18,0,IF(AC20&lt;=Parameter!$C$19,(Parameter!$C$22*(AC20-Parameter!$C$18)/10000+Parameter!$C$23)*(AC20-Parameter!$C$18)/10000,IF(AC20&lt;=Parameter!$C$20,(Parameter!$C$24*(AC20-Parameter!$C$19)/10000+Parameter!$C$25)*(AC20-Parameter!$C$19)/10000+Parameter!$C$26,IF(AC20&lt;=Parameter!$C$21,0.42*AC20-Parameter!$C$27,0.45*AC20-Parameter!$C$28)))))</f>
        <v>4027.59803042199</v>
      </c>
      <c r="AE20" s="40" t="n">
        <f aca="false">AD20+IF(AD20&lt;=(Parameter!$C$30*Parameter!$C$57*D20),0,MIN(Parameter!$C$29*AD20,Parameter!$C$31*(AD20-(Parameter!$C$30*Parameter!$C$57*D20))))+Eingaben!$C$16*AD20</f>
        <v>4027.59803042199</v>
      </c>
      <c r="AF20" s="40" t="n">
        <f aca="false">IF(AND(Eingaben!$C$31=1,Eingaben!$C$28=1,M20&gt;0),MIN(AA20-J20,5*(AE20-J20)),AA20-J20)</f>
        <v>-458.617040346898</v>
      </c>
      <c r="AG20" s="40" t="n">
        <f aca="false">M20-T20-AF20-U20+W20</f>
        <v>-1408.84644822515</v>
      </c>
      <c r="AH20" s="40" t="n">
        <f aca="false">MAX(0,(AH19-AI19)*(1+Parameter!$C$61))</f>
        <v>63146.8435637852</v>
      </c>
      <c r="AI20" s="40" t="n">
        <f aca="false">IF(F20=0,0,MIN(AH20,Ansparphase!$AY$57*IF(12=0,Eingaben!$C$42,0)+(Ansparphase!$AY$57*(1-Eingaben!$C$42))*$CG$4))</f>
        <v>14498.4392735929</v>
      </c>
      <c r="AJ20" s="40" t="n">
        <f aca="false">MAX(0,(AJ19-AK19)*(1+Parameter!$C$61))</f>
        <v>25466.3308770978</v>
      </c>
      <c r="AK20" s="40" t="n">
        <f aca="false">IF(F20=0,0,MIN(AJ20,Ansparphase!$AZ$57*IF(12=0,Eingaben!$C$42,0)+(Ansparphase!$AZ$57*(1-Eingaben!$C$42))*$CG$4))</f>
        <v>5847.03891604451</v>
      </c>
      <c r="AL20" s="40" t="n">
        <f aca="false">MAX(0,(AL19-AM19)*(1+Parameter!$C$62))</f>
        <v>0</v>
      </c>
      <c r="AM20" s="40" t="n">
        <f aca="false">IF(F20=0,0,MIN(AL20,Ansparphase!$BA$57*$CG$5))</f>
        <v>0</v>
      </c>
      <c r="AN20" s="40" t="n">
        <f aca="false">MAX(0,AM20*(1-IF(Ansparphase!$BA$57=0,1,MIN(1,Ansparphase!$BB$57/Ansparphase!$BA$57)))*(1-Parameter!$C$37))*Parameter!$C$36</f>
        <v>0</v>
      </c>
      <c r="AO20" s="40" t="n">
        <f aca="false">AI20+AK20*(1-IF(Ansparphase!$AZ$57=0,1,MIN(1,$CG$7/Ansparphase!$AZ$57)))*Parameter!$C$52</f>
        <v>16240.3218755518</v>
      </c>
      <c r="AP20" s="40" t="n">
        <f aca="false">MAX(0,G20+AO20)</f>
        <v>63864.7067770487</v>
      </c>
      <c r="AQ20" s="40" t="n">
        <f aca="false">MAX(0,(AP20+IF(Eingaben!$C$14=3,Eingaben!$C$15,0))/Parameter!$C$57/D20)</f>
        <v>29502.1878392998</v>
      </c>
      <c r="AR20" s="40" t="n">
        <f aca="false">Parameter!$C$57*D20*(IF(AQ20&lt;=Parameter!$C$18,0,IF(AQ20&lt;=Parameter!$C$19,(Parameter!$C$22*(AQ20-Parameter!$C$18)/10000+Parameter!$C$23)*(AQ20-Parameter!$C$18)/10000,IF(AQ20&lt;=Parameter!$C$20,(Parameter!$C$24*(AQ20-Parameter!$C$19)/10000+Parameter!$C$25)*(AQ20-Parameter!$C$19)/10000+Parameter!$C$26,IF(AQ20&lt;=Parameter!$C$21,0.42*AQ20-Parameter!$C$27,0.45*AQ20-Parameter!$C$28)))))</f>
        <v>8826.11870781382</v>
      </c>
      <c r="AS20" s="40" t="n">
        <f aca="false">AR20+IF(AR20&lt;=(Parameter!$C$30*Parameter!$C$57*D20),0,MIN(Parameter!$C$29*AR20,Parameter!$C$31*(AR20-(Parameter!$C$30*Parameter!$C$57*D20))))+Eingaben!$C$16*AR20</f>
        <v>8826.11870781382</v>
      </c>
      <c r="AT20" s="40" t="n">
        <f aca="false">AI20+AK20-(AS20-J20)+AM20-AN20</f>
        <v>16005.5745525925</v>
      </c>
      <c r="AU20" s="40" t="n">
        <f aca="false">MAX(0,(AU19-AW19)*(1+Parameter!$C$62))</f>
        <v>67430.4737145048</v>
      </c>
      <c r="AV20" s="40" t="n">
        <f aca="false">MAX(0,AV19-AV19*IF(AU19=0,0,AW19/AU19))</f>
        <v>17421.8071164883</v>
      </c>
      <c r="AW20" s="40" t="n">
        <f aca="false">IF(F20=0,0,MIN(AU20,Ansparphase!$BE$57*$CG$5))</f>
        <v>15960.3275243806</v>
      </c>
      <c r="AX20" s="40" t="n">
        <f aca="false">AW20-IF(AU20=0,0,AV20*AW20/AU20)</f>
        <v>11836.7060765614</v>
      </c>
      <c r="AY20" s="40" t="n">
        <f aca="false">MAX(0,AX20*(1-Parameter!$C$37)-Parameter!$C$67)*Parameter!$C$36</f>
        <v>1921.60185938515</v>
      </c>
      <c r="AZ20" s="40" t="n">
        <f aca="false">AW20-AY20</f>
        <v>14038.7256649955</v>
      </c>
      <c r="BA20" s="38" t="n">
        <f aca="false">1/(1+Eingaben!$C$37)^C20</f>
        <v>0.461948223488941</v>
      </c>
      <c r="BB20" s="40" t="n">
        <f aca="false">IF(AND(Eingaben!$C$28=2,F20=0),(Ansparphase!$AW$57+Ansparphase!$AX$57)*Eingaben!$C$29/10000*12*(1+Eingaben!$C$30)^12,0)</f>
        <v>0</v>
      </c>
      <c r="BC20" s="38" t="n">
        <f aca="false">1/(1+Parameter!$C$68)^12</f>
        <v>0.523323514220866</v>
      </c>
    </row>
    <row r="21" customFormat="false" ht="15" hidden="false" customHeight="false" outlineLevel="0" collapsed="false">
      <c r="A21" s="32" t="n">
        <f aca="false">2026+C21</f>
        <v>2066</v>
      </c>
      <c r="B21" s="32" t="n">
        <f aca="false">Eingaben!$C$6+13</f>
        <v>80</v>
      </c>
      <c r="C21" s="32" t="n">
        <f aca="false">B21-Eingaben!$C$5</f>
        <v>40</v>
      </c>
      <c r="D21" s="41" t="n">
        <f aca="false">(1+Eingaben!$C$17)^C21</f>
        <v>2.20803966361485</v>
      </c>
      <c r="E21" s="41" t="n">
        <f aca="false">(1+Eingaben!$C$13)^C21</f>
        <v>2.68506383838996</v>
      </c>
      <c r="F21" s="32" t="n">
        <f aca="false">IF(B21&lt;=Eingaben!$C$7,1,0)</f>
        <v>1</v>
      </c>
      <c r="G21" s="43" t="n">
        <f aca="false">Eingaben!$C$40*(1+Eingaben!$C$37)^C21</f>
        <v>48576.8725995268</v>
      </c>
      <c r="H21" s="43" t="n">
        <f aca="false">MAX(0,(G21+IF(Eingaben!$C$14=3,Eingaben!$C$15,0))/Parameter!$C$57/D21)</f>
        <v>22000</v>
      </c>
      <c r="I21" s="43" t="n">
        <f aca="false">Parameter!$C$57*D21*(IF(H21&lt;=Parameter!$C$18,0,IF(H21&lt;=Parameter!$C$19,(Parameter!$C$22*(H21-Parameter!$C$18)/10000+Parameter!$C$23)*(H21-Parameter!$C$18)/10000,IF(H21&lt;=Parameter!$C$20,(Parameter!$C$24*(H21-Parameter!$C$19)/10000+Parameter!$C$25)*(H21-Parameter!$C$19)/10000+Parameter!$C$26,IF(H21&lt;=Parameter!$C$21,0.42*H21-Parameter!$C$27,0.45*H21-Parameter!$C$28)))))</f>
        <v>4575.93937218426</v>
      </c>
      <c r="J21" s="43" t="n">
        <f aca="false">I21+IF(I21&lt;=(Parameter!$C$30*Parameter!$C$57*D21),0,MIN(Parameter!$C$29*I21,Parameter!$C$31*(I21-(Parameter!$C$30*Parameter!$C$57*D21))))+Eingaben!$C$16*I21</f>
        <v>4575.93937218426</v>
      </c>
      <c r="K21" s="43" t="n">
        <f aca="false">IF(Eingaben!$C$28=1,IF(0=1,Ansparphase!$AW$57,0),(Ansparphase!$AW$57+Ansparphase!$AX$57)*Eingaben!$C$29/10000*12*(1+Eingaben!$C$30)^13*F21*IF((Ansparphase!$AW$57+Ansparphase!$AX$57)=0,0,Ansparphase!$AW$57/(Ansparphase!$AW$57+Ansparphase!$AX$57)))</f>
        <v>0</v>
      </c>
      <c r="L21" s="43" t="n">
        <f aca="false">IF(Eingaben!$C$28=1,IF(0=1,Ansparphase!$AX$57,0),(Ansparphase!$AW$57+Ansparphase!$AX$57)*Eingaben!$C$29/10000*12*(1+Eingaben!$C$30)^13*F21*IF((Ansparphase!$AW$57+Ansparphase!$AX$57)=0,0,Ansparphase!$AX$57/(Ansparphase!$AW$57+Ansparphase!$AX$57)))</f>
        <v>0</v>
      </c>
      <c r="M21" s="43" t="n">
        <f aca="false">K21+L21</f>
        <v>0</v>
      </c>
      <c r="N21" s="43" t="n">
        <f aca="false">K21+L21*IF(Eingaben!$C$28=1,(1-IF(Ansparphase!$AX$57=0,1,MIN(1,$CG$8/Ansparphase!$AX$57)))*Parameter!$C$52,Parameter!$C$51)</f>
        <v>0</v>
      </c>
      <c r="O21" s="43" t="n">
        <f aca="false">IF(Eingaben!$C$28=1,IF(13&lt;10,(Ansparphase!$AW$57+Ansparphase!$AX$57)/120,0),M21/12)</f>
        <v>0</v>
      </c>
      <c r="P21" s="43" t="n">
        <f aca="false">Eingaben!$C$41/12*(1+Eingaben!$C$13)^C21</f>
        <v>5370.12767677993</v>
      </c>
      <c r="Q21" s="43" t="n">
        <f aca="false">MAX(0,MIN(O21,Parameter!$C$5/12*E21-P21))</f>
        <v>0</v>
      </c>
      <c r="R21" s="43" t="n">
        <f aca="false">IF(Eingaben!$C$39=2,0,MAX(0,Q21-Parameter!$C$7*E21)*Parameter!$C$54*12)</f>
        <v>0</v>
      </c>
      <c r="S21" s="43" t="n">
        <f aca="false">IF(Eingaben!$C$39=2,0,IF(O21&gt;Parameter!$C$7*E21,Q21*Parameter!$C$59*12,0))</f>
        <v>0</v>
      </c>
      <c r="T21" s="43" t="n">
        <f aca="false">R21+S21</f>
        <v>0</v>
      </c>
      <c r="U21" s="43" t="n">
        <f aca="false">Ansparphase!$BJ$57*Parameter!$C$9*12*(1+Eingaben!$C$13)^(Eingaben!$C$6-Eingaben!$C$5)*(1+Eingaben!$C$13)^13*F21</f>
        <v>2183.85633289943</v>
      </c>
      <c r="V21" s="43" t="n">
        <f aca="false">U21*Parameter!$C$66</f>
        <v>2129.25992457694</v>
      </c>
      <c r="W21" s="43" t="n">
        <f aca="false">IF(Eingaben!$C$39=2,0,U21*(Parameter!$C$53+Parameter!$C$59))</f>
        <v>269.706257113079</v>
      </c>
      <c r="X21" s="43" t="n">
        <f aca="false">MAX(0,G21-V21+N21-T21+W21)</f>
        <v>46717.3189320629</v>
      </c>
      <c r="Y21" s="43" t="n">
        <f aca="false">MAX(0,(X21+IF(Eingaben!$C$14=3,Eingaben!$C$15,0))/Parameter!$C$57/D21)</f>
        <v>21157.8259674831</v>
      </c>
      <c r="Z21" s="43" t="n">
        <f aca="false">Parameter!$C$57*D21*(IF(Y21&lt;=Parameter!$C$18,0,IF(Y21&lt;=Parameter!$C$19,(Parameter!$C$22*(Y21-Parameter!$C$18)/10000+Parameter!$C$23)*(Y21-Parameter!$C$18)/10000,IF(Y21&lt;=Parameter!$C$20,(Parameter!$C$24*(Y21-Parameter!$C$19)/10000+Parameter!$C$25)*(Y21-Parameter!$C$19)/10000+Parameter!$C$26,IF(Y21&lt;=Parameter!$C$21,0.42*Y21-Parameter!$C$27,0.45*Y21-Parameter!$C$28)))))</f>
        <v>4105.8701295525</v>
      </c>
      <c r="AA21" s="43" t="n">
        <f aca="false">Z21+IF(Z21&lt;=(Parameter!$C$30*Parameter!$C$57*D21),0,MIN(Parameter!$C$29*Z21,Parameter!$C$31*(Z21-(Parameter!$C$30*Parameter!$C$57*D21))))+Eingaben!$C$16*Z21</f>
        <v>4105.8701295525</v>
      </c>
      <c r="AB21" s="43" t="n">
        <f aca="false">MAX(0,G21-V21+N21/5-T21+W21)</f>
        <v>46717.3189320629</v>
      </c>
      <c r="AC21" s="43" t="n">
        <f aca="false">MAX(0,(AB21+IF(Eingaben!$C$14=3,Eingaben!$C$15,0))/Parameter!$C$57/D21)</f>
        <v>21157.8259674831</v>
      </c>
      <c r="AD21" s="43" t="n">
        <f aca="false">Parameter!$C$57*D21*(IF(AC21&lt;=Parameter!$C$18,0,IF(AC21&lt;=Parameter!$C$19,(Parameter!$C$22*(AC21-Parameter!$C$18)/10000+Parameter!$C$23)*(AC21-Parameter!$C$18)/10000,IF(AC21&lt;=Parameter!$C$20,(Parameter!$C$24*(AC21-Parameter!$C$19)/10000+Parameter!$C$25)*(AC21-Parameter!$C$19)/10000+Parameter!$C$26,IF(AC21&lt;=Parameter!$C$21,0.42*AC21-Parameter!$C$27,0.45*AC21-Parameter!$C$28)))))</f>
        <v>4105.8701295525</v>
      </c>
      <c r="AE21" s="43" t="n">
        <f aca="false">AD21+IF(AD21&lt;=(Parameter!$C$30*Parameter!$C$57*D21),0,MIN(Parameter!$C$29*AD21,Parameter!$C$31*(AD21-(Parameter!$C$30*Parameter!$C$57*D21))))+Eingaben!$C$16*AD21</f>
        <v>4105.8701295525</v>
      </c>
      <c r="AF21" s="43" t="n">
        <f aca="false">IF(AND(Eingaben!$C$31=1,Eingaben!$C$28=1,M21&gt;0),MIN(AA21-J21,5*(AE21-J21)),AA21-J21)</f>
        <v>-470.069242631763</v>
      </c>
      <c r="AG21" s="43" t="n">
        <f aca="false">M21-T21-AF21-U21+W21</f>
        <v>-1444.08083315458</v>
      </c>
      <c r="AH21" s="43" t="n">
        <f aca="false">MAX(0,(AH20-AI20)*(1+Parameter!$C$61))</f>
        <v>51810.5505690547</v>
      </c>
      <c r="AI21" s="43" t="n">
        <f aca="false">IF(F21=0,0,MIN(AH21,Ansparphase!$AY$57*IF(13=0,Eingaben!$C$42,0)+(Ansparphase!$AY$57*(1-Eingaben!$C$42))*$CG$4))</f>
        <v>14498.4392735929</v>
      </c>
      <c r="AJ21" s="43" t="n">
        <f aca="false">MAX(0,(AJ20-AK20)*(1+Parameter!$C$61))</f>
        <v>20894.5459385218</v>
      </c>
      <c r="AK21" s="43" t="n">
        <f aca="false">IF(F21=0,0,MIN(AJ21,Ansparphase!$AZ$57*IF(13=0,Eingaben!$C$42,0)+(Ansparphase!$AZ$57*(1-Eingaben!$C$42))*$CG$4))</f>
        <v>5847.03891604451</v>
      </c>
      <c r="AL21" s="43" t="n">
        <f aca="false">MAX(0,(AL20-AM20)*(1+Parameter!$C$62))</f>
        <v>0</v>
      </c>
      <c r="AM21" s="43" t="n">
        <f aca="false">IF(F21=0,0,MIN(AL21,Ansparphase!$BA$57*$CG$5))</f>
        <v>0</v>
      </c>
      <c r="AN21" s="43" t="n">
        <f aca="false">MAX(0,AM21*(1-IF(Ansparphase!$BA$57=0,1,MIN(1,Ansparphase!$BB$57/Ansparphase!$BA$57)))*(1-Parameter!$C$37))*Parameter!$C$36</f>
        <v>0</v>
      </c>
      <c r="AO21" s="43" t="n">
        <f aca="false">AI21+AK21*(1-IF(Ansparphase!$AZ$57=0,1,MIN(1,$CG$7/Ansparphase!$AZ$57)))*Parameter!$C$52</f>
        <v>16240.3218755518</v>
      </c>
      <c r="AP21" s="43" t="n">
        <f aca="false">MAX(0,G21+AO21)</f>
        <v>64817.1944750786</v>
      </c>
      <c r="AQ21" s="43" t="n">
        <f aca="false">MAX(0,(AP21+IF(Eingaben!$C$14=3,Eingaben!$C$15,0))/Parameter!$C$57/D21)</f>
        <v>29355.0861169605</v>
      </c>
      <c r="AR21" s="43" t="n">
        <f aca="false">Parameter!$C$57*D21*(IF(AQ21&lt;=Parameter!$C$18,0,IF(AQ21&lt;=Parameter!$C$19,(Parameter!$C$22*(AQ21-Parameter!$C$18)/10000+Parameter!$C$23)*(AQ21-Parameter!$C$18)/10000,IF(AQ21&lt;=Parameter!$C$20,(Parameter!$C$24*(AQ21-Parameter!$C$19)/10000+Parameter!$C$25)*(AQ21-Parameter!$C$19)/10000+Parameter!$C$26,IF(AQ21&lt;=Parameter!$C$21,0.42*AQ21-Parameter!$C$27,0.45*AQ21-Parameter!$C$28)))))</f>
        <v>8911.7076860276</v>
      </c>
      <c r="AS21" s="43" t="n">
        <f aca="false">AR21+IF(AR21&lt;=(Parameter!$C$30*Parameter!$C$57*D21),0,MIN(Parameter!$C$29*AR21,Parameter!$C$31*(AR21-(Parameter!$C$30*Parameter!$C$57*D21))))+Eingaben!$C$16*AR21</f>
        <v>8911.7076860276</v>
      </c>
      <c r="AT21" s="43" t="n">
        <f aca="false">AI21+AK21-(AS21-J21)+AM21-AN21</f>
        <v>16009.7098757941</v>
      </c>
      <c r="AU21" s="43" t="n">
        <f aca="false">MAX(0,(AU20-AW20)*(1+Parameter!$C$62))</f>
        <v>54970.1161310526</v>
      </c>
      <c r="AV21" s="43" t="n">
        <f aca="false">MAX(0,AV20-AV20*IF(AU20=0,0,AW20/AU20))</f>
        <v>13298.1856686692</v>
      </c>
      <c r="AW21" s="43" t="n">
        <f aca="false">IF(F21=0,0,MIN(AU21,Ansparphase!$BE$57*$CG$5))</f>
        <v>15960.3275243806</v>
      </c>
      <c r="AX21" s="43" t="n">
        <f aca="false">AW21-IF(AU21=0,0,AV21*AW21/AU21)</f>
        <v>12099.2587530143</v>
      </c>
      <c r="AY21" s="43" t="n">
        <f aca="false">MAX(0,AX21*(1-Parameter!$C$37)-Parameter!$C$67)*Parameter!$C$36</f>
        <v>1970.07564727527</v>
      </c>
      <c r="AZ21" s="43" t="n">
        <f aca="false">AW21-AY21</f>
        <v>13990.2518771053</v>
      </c>
      <c r="BA21" s="41" t="n">
        <f aca="false">1/(1+Eingaben!$C$37)^C21</f>
        <v>0.452890415185236</v>
      </c>
      <c r="BB21" s="43" t="n">
        <f aca="false">IF(AND(Eingaben!$C$28=2,F21=0),(Ansparphase!$AW$57+Ansparphase!$AX$57)*Eingaben!$C$29/10000*12*(1+Eingaben!$C$30)^13,0)</f>
        <v>0</v>
      </c>
      <c r="BC21" s="41" t="n">
        <f aca="false">1/(1+Parameter!$C$68)^13</f>
        <v>0.495831868363516</v>
      </c>
    </row>
    <row r="22" customFormat="false" ht="15" hidden="false" customHeight="false" outlineLevel="0" collapsed="false">
      <c r="A22" s="30" t="n">
        <f aca="false">2026+C22</f>
        <v>2067</v>
      </c>
      <c r="B22" s="30" t="n">
        <f aca="false">Eingaben!$C$6+14</f>
        <v>81</v>
      </c>
      <c r="C22" s="30" t="n">
        <f aca="false">B22-Eingaben!$C$5</f>
        <v>41</v>
      </c>
      <c r="D22" s="38" t="n">
        <f aca="false">(1+Eingaben!$C$17)^C22</f>
        <v>2.25220045688715</v>
      </c>
      <c r="E22" s="38" t="n">
        <f aca="false">(1+Eingaben!$C$13)^C22</f>
        <v>2.75219043434971</v>
      </c>
      <c r="F22" s="30" t="n">
        <f aca="false">IF(B22&lt;=Eingaben!$C$7,1,0)</f>
        <v>1</v>
      </c>
      <c r="G22" s="40" t="n">
        <f aca="false">Eingaben!$C$40*(1+Eingaben!$C$37)^C22</f>
        <v>49548.4100515173</v>
      </c>
      <c r="H22" s="40" t="n">
        <f aca="false">MAX(0,(G22+IF(Eingaben!$C$14=3,Eingaben!$C$15,0))/Parameter!$C$57/D22)</f>
        <v>22000</v>
      </c>
      <c r="I22" s="40" t="n">
        <f aca="false">Parameter!$C$57*D22*(IF(H22&lt;=Parameter!$C$18,0,IF(H22&lt;=Parameter!$C$19,(Parameter!$C$22*(H22-Parameter!$C$18)/10000+Parameter!$C$23)*(H22-Parameter!$C$18)/10000,IF(H22&lt;=Parameter!$C$20,(Parameter!$C$24*(H22-Parameter!$C$19)/10000+Parameter!$C$25)*(H22-Parameter!$C$19)/10000+Parameter!$C$26,IF(H22&lt;=Parameter!$C$21,0.42*H22-Parameter!$C$27,0.45*H22-Parameter!$C$28)))))</f>
        <v>4667.45815962795</v>
      </c>
      <c r="J22" s="40" t="n">
        <f aca="false">I22+IF(I22&lt;=(Parameter!$C$30*Parameter!$C$57*D22),0,MIN(Parameter!$C$29*I22,Parameter!$C$31*(I22-(Parameter!$C$30*Parameter!$C$57*D22))))+Eingaben!$C$16*I22</f>
        <v>4667.45815962795</v>
      </c>
      <c r="K22" s="40" t="n">
        <f aca="false">IF(Eingaben!$C$28=1,IF(0=1,Ansparphase!$AW$57,0),(Ansparphase!$AW$57+Ansparphase!$AX$57)*Eingaben!$C$29/10000*12*(1+Eingaben!$C$30)^14*F22*IF((Ansparphase!$AW$57+Ansparphase!$AX$57)=0,0,Ansparphase!$AW$57/(Ansparphase!$AW$57+Ansparphase!$AX$57)))</f>
        <v>0</v>
      </c>
      <c r="L22" s="40" t="n">
        <f aca="false">IF(Eingaben!$C$28=1,IF(0=1,Ansparphase!$AX$57,0),(Ansparphase!$AW$57+Ansparphase!$AX$57)*Eingaben!$C$29/10000*12*(1+Eingaben!$C$30)^14*F22*IF((Ansparphase!$AW$57+Ansparphase!$AX$57)=0,0,Ansparphase!$AX$57/(Ansparphase!$AW$57+Ansparphase!$AX$57)))</f>
        <v>0</v>
      </c>
      <c r="M22" s="40" t="n">
        <f aca="false">K22+L22</f>
        <v>0</v>
      </c>
      <c r="N22" s="40" t="n">
        <f aca="false">K22+L22*IF(Eingaben!$C$28=1,(1-IF(Ansparphase!$AX$57=0,1,MIN(1,$CG$8/Ansparphase!$AX$57)))*Parameter!$C$52,Parameter!$C$51)</f>
        <v>0</v>
      </c>
      <c r="O22" s="40" t="n">
        <f aca="false">IF(Eingaben!$C$28=1,IF(14&lt;10,(Ansparphase!$AW$57+Ansparphase!$AX$57)/120,0),M22/12)</f>
        <v>0</v>
      </c>
      <c r="P22" s="40" t="n">
        <f aca="false">Eingaben!$C$41/12*(1+Eingaben!$C$13)^C22</f>
        <v>5504.38086869942</v>
      </c>
      <c r="Q22" s="40" t="n">
        <f aca="false">MAX(0,MIN(O22,Parameter!$C$5/12*E22-P22))</f>
        <v>0</v>
      </c>
      <c r="R22" s="40" t="n">
        <f aca="false">IF(Eingaben!$C$39=2,0,MAX(0,Q22-Parameter!$C$7*E22)*Parameter!$C$54*12)</f>
        <v>0</v>
      </c>
      <c r="S22" s="40" t="n">
        <f aca="false">IF(Eingaben!$C$39=2,0,IF(O22&gt;Parameter!$C$7*E22,Q22*Parameter!$C$59*12,0))</f>
        <v>0</v>
      </c>
      <c r="T22" s="40" t="n">
        <f aca="false">R22+S22</f>
        <v>0</v>
      </c>
      <c r="U22" s="40" t="n">
        <f aca="false">Ansparphase!$BJ$57*Parameter!$C$9*12*(1+Eingaben!$C$13)^(Eingaben!$C$6-Eingaben!$C$5)*(1+Eingaben!$C$13)^14*F22</f>
        <v>2238.45274122191</v>
      </c>
      <c r="V22" s="40" t="n">
        <f aca="false">U22*Parameter!$C$66</f>
        <v>2182.49142269136</v>
      </c>
      <c r="W22" s="40" t="n">
        <f aca="false">IF(Eingaben!$C$39=2,0,U22*(Parameter!$C$53+Parameter!$C$59))</f>
        <v>276.448913540906</v>
      </c>
      <c r="X22" s="40" t="n">
        <f aca="false">MAX(0,G22-V22+N22-T22+W22)</f>
        <v>47642.3675423669</v>
      </c>
      <c r="Y22" s="40" t="n">
        <f aca="false">MAX(0,(X22+IF(Eingaben!$C$14=3,Eingaben!$C$15,0))/Parameter!$C$57/D22)</f>
        <v>21153.6976634021</v>
      </c>
      <c r="Z22" s="40" t="n">
        <f aca="false">Parameter!$C$57*D22*(IF(Y22&lt;=Parameter!$C$18,0,IF(Y22&lt;=Parameter!$C$19,(Parameter!$C$22*(Y22-Parameter!$C$18)/10000+Parameter!$C$23)*(Y22-Parameter!$C$18)/10000,IF(Y22&lt;=Parameter!$C$20,(Parameter!$C$24*(Y22-Parameter!$C$19)/10000+Parameter!$C$25)*(Y22-Parameter!$C$19)/10000+Parameter!$C$26,IF(Y22&lt;=Parameter!$C$21,0.42*Y22-Parameter!$C$27,0.45*Y22-Parameter!$C$28)))))</f>
        <v>4185.65080669002</v>
      </c>
      <c r="AA22" s="40" t="n">
        <f aca="false">Z22+IF(Z22&lt;=(Parameter!$C$30*Parameter!$C$57*D22),0,MIN(Parameter!$C$29*Z22,Parameter!$C$31*(Z22-(Parameter!$C$30*Parameter!$C$57*D22))))+Eingaben!$C$16*Z22</f>
        <v>4185.65080669002</v>
      </c>
      <c r="AB22" s="40" t="n">
        <f aca="false">MAX(0,G22-V22+N22/5-T22+W22)</f>
        <v>47642.3675423669</v>
      </c>
      <c r="AC22" s="40" t="n">
        <f aca="false">MAX(0,(AB22+IF(Eingaben!$C$14=3,Eingaben!$C$15,0))/Parameter!$C$57/D22)</f>
        <v>21153.6976634021</v>
      </c>
      <c r="AD22" s="40" t="n">
        <f aca="false">Parameter!$C$57*D22*(IF(AC22&lt;=Parameter!$C$18,0,IF(AC22&lt;=Parameter!$C$19,(Parameter!$C$22*(AC22-Parameter!$C$18)/10000+Parameter!$C$23)*(AC22-Parameter!$C$18)/10000,IF(AC22&lt;=Parameter!$C$20,(Parameter!$C$24*(AC22-Parameter!$C$19)/10000+Parameter!$C$25)*(AC22-Parameter!$C$19)/10000+Parameter!$C$26,IF(AC22&lt;=Parameter!$C$21,0.42*AC22-Parameter!$C$27,0.45*AC22-Parameter!$C$28)))))</f>
        <v>4185.65080669002</v>
      </c>
      <c r="AE22" s="40" t="n">
        <f aca="false">AD22+IF(AD22&lt;=(Parameter!$C$30*Parameter!$C$57*D22),0,MIN(Parameter!$C$29*AD22,Parameter!$C$31*(AD22-(Parameter!$C$30*Parameter!$C$57*D22))))+Eingaben!$C$16*AD22</f>
        <v>4185.65080669002</v>
      </c>
      <c r="AF22" s="40" t="n">
        <f aca="false">IF(AND(Eingaben!$C$31=1,Eingaben!$C$28=1,M22&gt;0),MIN(AA22-J22,5*(AE22-J22)),AA22-J22)</f>
        <v>-481.807352937926</v>
      </c>
      <c r="AG22" s="40" t="n">
        <f aca="false">M22-T22-AF22-U22+W22</f>
        <v>-1480.19647474308</v>
      </c>
      <c r="AH22" s="40" t="n">
        <f aca="false">MAX(0,(AH21-AI21)*(1+Parameter!$C$61))</f>
        <v>39737.3985296669</v>
      </c>
      <c r="AI22" s="40" t="n">
        <f aca="false">IF(F22=0,0,MIN(AH22,Ansparphase!$AY$57*IF(14=0,Eingaben!$C$42,0)+(Ansparphase!$AY$57*(1-Eingaben!$C$42))*$CG$4))</f>
        <v>14498.4392735929</v>
      </c>
      <c r="AJ22" s="40" t="n">
        <f aca="false">MAX(0,(AJ21-AK21)*(1+Parameter!$C$61))</f>
        <v>16025.5949789383</v>
      </c>
      <c r="AK22" s="40" t="n">
        <f aca="false">IF(F22=0,0,MIN(AJ22,Ansparphase!$AZ$57*IF(14=0,Eingaben!$C$42,0)+(Ansparphase!$AZ$57*(1-Eingaben!$C$42))*$CG$4))</f>
        <v>5847.03891604451</v>
      </c>
      <c r="AL22" s="40" t="n">
        <f aca="false">MAX(0,(AL21-AM21)*(1+Parameter!$C$62))</f>
        <v>0</v>
      </c>
      <c r="AM22" s="40" t="n">
        <f aca="false">IF(F22=0,0,MIN(AL22,Ansparphase!$BA$57*$CG$5))</f>
        <v>0</v>
      </c>
      <c r="AN22" s="40" t="n">
        <f aca="false">MAX(0,AM22*(1-IF(Ansparphase!$BA$57=0,1,MIN(1,Ansparphase!$BB$57/Ansparphase!$BA$57)))*(1-Parameter!$C$37))*Parameter!$C$36</f>
        <v>0</v>
      </c>
      <c r="AO22" s="40" t="n">
        <f aca="false">AI22+AK22*(1-IF(Ansparphase!$AZ$57=0,1,MIN(1,$CG$7/Ansparphase!$AZ$57)))*Parameter!$C$52</f>
        <v>16240.3218755518</v>
      </c>
      <c r="AP22" s="40" t="n">
        <f aca="false">MAX(0,G22+AO22)</f>
        <v>65788.7319270692</v>
      </c>
      <c r="AQ22" s="40" t="n">
        <f aca="false">MAX(0,(AP22+IF(Eingaben!$C$14=3,Eingaben!$C$15,0))/Parameter!$C$57/D22)</f>
        <v>29210.8687421182</v>
      </c>
      <c r="AR22" s="40" t="n">
        <f aca="false">Parameter!$C$57*D22*(IF(AQ22&lt;=Parameter!$C$18,0,IF(AQ22&lt;=Parameter!$C$19,(Parameter!$C$22*(AQ22-Parameter!$C$18)/10000+Parameter!$C$23)*(AQ22-Parameter!$C$18)/10000,IF(AQ22&lt;=Parameter!$C$20,(Parameter!$C$24*(AQ22-Parameter!$C$19)/10000+Parameter!$C$25)*(AQ22-Parameter!$C$19)/10000+Parameter!$C$26,IF(AQ22&lt;=Parameter!$C$21,0.42*AQ22-Parameter!$C$27,0.45*AQ22-Parameter!$C$28)))))</f>
        <v>8999.17223503834</v>
      </c>
      <c r="AS22" s="40" t="n">
        <f aca="false">AR22+IF(AR22&lt;=(Parameter!$C$30*Parameter!$C$57*D22),0,MIN(Parameter!$C$29*AR22,Parameter!$C$31*(AR22-(Parameter!$C$30*Parameter!$C$57*D22))))+Eingaben!$C$16*AR22</f>
        <v>8999.17223503834</v>
      </c>
      <c r="AT22" s="40" t="n">
        <f aca="false">AI22+AK22-(AS22-J22)+AM22-AN22</f>
        <v>16013.764114227</v>
      </c>
      <c r="AU22" s="40" t="n">
        <f aca="false">MAX(0,(AU21-AW21)*(1+Parameter!$C$62))</f>
        <v>41662.4542319257</v>
      </c>
      <c r="AV22" s="40" t="n">
        <f aca="false">MAX(0,AV21-AV21*IF(AU21=0,0,AW21/AU21))</f>
        <v>9437.1168973029</v>
      </c>
      <c r="AW22" s="40" t="n">
        <f aca="false">IF(F22=0,0,MIN(AU22,Ansparphase!$BE$57*$CG$5))</f>
        <v>15960.3275243806</v>
      </c>
      <c r="AX22" s="40" t="n">
        <f aca="false">AW22-IF(AU22=0,0,AV22*AW22/AU22)</f>
        <v>12345.0945923897</v>
      </c>
      <c r="AY22" s="40" t="n">
        <f aca="false">MAX(0,AX22*(1-Parameter!$C$37)-Parameter!$C$67)*Parameter!$C$36</f>
        <v>2015.46308911995</v>
      </c>
      <c r="AZ22" s="40" t="n">
        <f aca="false">AW22-AY22</f>
        <v>13944.8644352607</v>
      </c>
      <c r="BA22" s="38" t="n">
        <f aca="false">1/(1+Eingaben!$C$37)^C22</f>
        <v>0.444010210965918</v>
      </c>
      <c r="BB22" s="40" t="n">
        <f aca="false">IF(AND(Eingaben!$C$28=2,F22=0),(Ansparphase!$AW$57+Ansparphase!$AX$57)*Eingaben!$C$29/10000*12*(1+Eingaben!$C$30)^14,0)</f>
        <v>0</v>
      </c>
      <c r="BC22" s="38" t="n">
        <f aca="false">1/(1+Parameter!$C$68)^14</f>
        <v>0.46978443544789</v>
      </c>
    </row>
    <row r="23" customFormat="false" ht="15" hidden="false" customHeight="false" outlineLevel="0" collapsed="false">
      <c r="A23" s="32" t="n">
        <f aca="false">2026+C23</f>
        <v>2068</v>
      </c>
      <c r="B23" s="32" t="n">
        <f aca="false">Eingaben!$C$6+15</f>
        <v>82</v>
      </c>
      <c r="C23" s="32" t="n">
        <f aca="false">B23-Eingaben!$C$5</f>
        <v>42</v>
      </c>
      <c r="D23" s="41" t="n">
        <f aca="false">(1+Eingaben!$C$17)^C23</f>
        <v>2.29724446602489</v>
      </c>
      <c r="E23" s="41" t="n">
        <f aca="false">(1+Eingaben!$C$13)^C23</f>
        <v>2.82099519520845</v>
      </c>
      <c r="F23" s="32" t="n">
        <f aca="false">IF(B23&lt;=Eingaben!$C$7,1,0)</f>
        <v>1</v>
      </c>
      <c r="G23" s="43" t="n">
        <f aca="false">Eingaben!$C$40*(1+Eingaben!$C$37)^C23</f>
        <v>50539.3782525477</v>
      </c>
      <c r="H23" s="43" t="n">
        <f aca="false">MAX(0,(G23+IF(Eingaben!$C$14=3,Eingaben!$C$15,0))/Parameter!$C$57/D23)</f>
        <v>22000</v>
      </c>
      <c r="I23" s="43" t="n">
        <f aca="false">Parameter!$C$57*D23*(IF(H23&lt;=Parameter!$C$18,0,IF(H23&lt;=Parameter!$C$19,(Parameter!$C$22*(H23-Parameter!$C$18)/10000+Parameter!$C$23)*(H23-Parameter!$C$18)/10000,IF(H23&lt;=Parameter!$C$20,(Parameter!$C$24*(H23-Parameter!$C$19)/10000+Parameter!$C$25)*(H23-Parameter!$C$19)/10000+Parameter!$C$26,IF(H23&lt;=Parameter!$C$21,0.42*H23-Parameter!$C$27,0.45*H23-Parameter!$C$28)))))</f>
        <v>4760.80732282051</v>
      </c>
      <c r="J23" s="43" t="n">
        <f aca="false">I23+IF(I23&lt;=(Parameter!$C$30*Parameter!$C$57*D23),0,MIN(Parameter!$C$29*I23,Parameter!$C$31*(I23-(Parameter!$C$30*Parameter!$C$57*D23))))+Eingaben!$C$16*I23</f>
        <v>4760.80732282051</v>
      </c>
      <c r="K23" s="43" t="n">
        <f aca="false">IF(Eingaben!$C$28=1,IF(0=1,Ansparphase!$AW$57,0),(Ansparphase!$AW$57+Ansparphase!$AX$57)*Eingaben!$C$29/10000*12*(1+Eingaben!$C$30)^15*F23*IF((Ansparphase!$AW$57+Ansparphase!$AX$57)=0,0,Ansparphase!$AW$57/(Ansparphase!$AW$57+Ansparphase!$AX$57)))</f>
        <v>0</v>
      </c>
      <c r="L23" s="43" t="n">
        <f aca="false">IF(Eingaben!$C$28=1,IF(0=1,Ansparphase!$AX$57,0),(Ansparphase!$AW$57+Ansparphase!$AX$57)*Eingaben!$C$29/10000*12*(1+Eingaben!$C$30)^15*F23*IF((Ansparphase!$AW$57+Ansparphase!$AX$57)=0,0,Ansparphase!$AX$57/(Ansparphase!$AW$57+Ansparphase!$AX$57)))</f>
        <v>0</v>
      </c>
      <c r="M23" s="43" t="n">
        <f aca="false">K23+L23</f>
        <v>0</v>
      </c>
      <c r="N23" s="43" t="n">
        <f aca="false">K23+L23*IF(Eingaben!$C$28=1,(1-IF(Ansparphase!$AX$57=0,1,MIN(1,$CG$8/Ansparphase!$AX$57)))*Parameter!$C$52,Parameter!$C$51)</f>
        <v>0</v>
      </c>
      <c r="O23" s="43" t="n">
        <f aca="false">IF(Eingaben!$C$28=1,IF(15&lt;10,(Ansparphase!$AW$57+Ansparphase!$AX$57)/120,0),M23/12)</f>
        <v>0</v>
      </c>
      <c r="P23" s="43" t="n">
        <f aca="false">Eingaben!$C$41/12*(1+Eingaben!$C$13)^C23</f>
        <v>5641.99039041691</v>
      </c>
      <c r="Q23" s="43" t="n">
        <f aca="false">MAX(0,MIN(O23,Parameter!$C$5/12*E23-P23))</f>
        <v>0</v>
      </c>
      <c r="R23" s="43" t="n">
        <f aca="false">IF(Eingaben!$C$39=2,0,MAX(0,Q23-Parameter!$C$7*E23)*Parameter!$C$54*12)</f>
        <v>0</v>
      </c>
      <c r="S23" s="43" t="n">
        <f aca="false">IF(Eingaben!$C$39=2,0,IF(O23&gt;Parameter!$C$7*E23,Q23*Parameter!$C$59*12,0))</f>
        <v>0</v>
      </c>
      <c r="T23" s="43" t="n">
        <f aca="false">R23+S23</f>
        <v>0</v>
      </c>
      <c r="U23" s="43" t="n">
        <f aca="false">Ansparphase!$BJ$57*Parameter!$C$9*12*(1+Eingaben!$C$13)^(Eingaben!$C$6-Eingaben!$C$5)*(1+Eingaben!$C$13)^15*F23</f>
        <v>2294.41405975246</v>
      </c>
      <c r="V23" s="43" t="n">
        <f aca="false">U23*Parameter!$C$66</f>
        <v>2237.05370825865</v>
      </c>
      <c r="W23" s="43" t="n">
        <f aca="false">IF(Eingaben!$C$39=2,0,U23*(Parameter!$C$53+Parameter!$C$59))</f>
        <v>283.360136379429</v>
      </c>
      <c r="X23" s="43" t="n">
        <f aca="false">MAX(0,G23-V23+N23-T23+W23)</f>
        <v>48585.6846806685</v>
      </c>
      <c r="Y23" s="43" t="n">
        <f aca="false">MAX(0,(X23+IF(Eingaben!$C$14=3,Eingaben!$C$15,0))/Parameter!$C$57/D23)</f>
        <v>21149.5491225364</v>
      </c>
      <c r="Z23" s="43" t="n">
        <f aca="false">Parameter!$C$57*D23*(IF(Y23&lt;=Parameter!$C$18,0,IF(Y23&lt;=Parameter!$C$19,(Parameter!$C$22*(Y23-Parameter!$C$18)/10000+Parameter!$C$23)*(Y23-Parameter!$C$18)/10000,IF(Y23&lt;=Parameter!$C$20,(Parameter!$C$24*(Y23-Parameter!$C$19)/10000+Parameter!$C$25)*(Y23-Parameter!$C$19)/10000+Parameter!$C$26,IF(Y23&lt;=Parameter!$C$21,0.42*Y23-Parameter!$C$27,0.45*Y23-Parameter!$C$28)))))</f>
        <v>4266.9688157754</v>
      </c>
      <c r="AA23" s="43" t="n">
        <f aca="false">Z23+IF(Z23&lt;=(Parameter!$C$30*Parameter!$C$57*D23),0,MIN(Parameter!$C$29*Z23,Parameter!$C$31*(Z23-(Parameter!$C$30*Parameter!$C$57*D23))))+Eingaben!$C$16*Z23</f>
        <v>4266.9688157754</v>
      </c>
      <c r="AB23" s="43" t="n">
        <f aca="false">MAX(0,G23-V23+N23/5-T23+W23)</f>
        <v>48585.6846806685</v>
      </c>
      <c r="AC23" s="43" t="n">
        <f aca="false">MAX(0,(AB23+IF(Eingaben!$C$14=3,Eingaben!$C$15,0))/Parameter!$C$57/D23)</f>
        <v>21149.5491225364</v>
      </c>
      <c r="AD23" s="43" t="n">
        <f aca="false">Parameter!$C$57*D23*(IF(AC23&lt;=Parameter!$C$18,0,IF(AC23&lt;=Parameter!$C$19,(Parameter!$C$22*(AC23-Parameter!$C$18)/10000+Parameter!$C$23)*(AC23-Parameter!$C$18)/10000,IF(AC23&lt;=Parameter!$C$20,(Parameter!$C$24*(AC23-Parameter!$C$19)/10000+Parameter!$C$25)*(AC23-Parameter!$C$19)/10000+Parameter!$C$26,IF(AC23&lt;=Parameter!$C$21,0.42*AC23-Parameter!$C$27,0.45*AC23-Parameter!$C$28)))))</f>
        <v>4266.9688157754</v>
      </c>
      <c r="AE23" s="43" t="n">
        <f aca="false">AD23+IF(AD23&lt;=(Parameter!$C$30*Parameter!$C$57*D23),0,MIN(Parameter!$C$29*AD23,Parameter!$C$31*(AD23-(Parameter!$C$30*Parameter!$C$57*D23))))+Eingaben!$C$16*AD23</f>
        <v>4266.9688157754</v>
      </c>
      <c r="AF23" s="43" t="n">
        <f aca="false">IF(AND(Eingaben!$C$31=1,Eingaben!$C$28=1,M23&gt;0),MIN(AA23-J23,5*(AE23-J23)),AA23-J23)</f>
        <v>-493.83850704511</v>
      </c>
      <c r="AG23" s="43" t="n">
        <f aca="false">M23-T23-AF23-U23+W23</f>
        <v>-1517.21541632792</v>
      </c>
      <c r="AH23" s="43" t="n">
        <f aca="false">MAX(0,(AH22-AI22)*(1+Parameter!$C$61))</f>
        <v>26879.4916077187</v>
      </c>
      <c r="AI23" s="43" t="n">
        <f aca="false">IF(F23=0,0,MIN(AH23,Ansparphase!$AY$57*IF(15=0,Eingaben!$C$42,0)+(Ansparphase!$AY$57*(1-Eingaben!$C$42))*$CG$4))</f>
        <v>14498.4392735929</v>
      </c>
      <c r="AJ23" s="43" t="n">
        <f aca="false">MAX(0,(AJ22-AK22)*(1+Parameter!$C$61))</f>
        <v>10840.1622069819</v>
      </c>
      <c r="AK23" s="43" t="n">
        <f aca="false">IF(F23=0,0,MIN(AJ23,Ansparphase!$AZ$57*IF(15=0,Eingaben!$C$42,0)+(Ansparphase!$AZ$57*(1-Eingaben!$C$42))*$CG$4))</f>
        <v>5847.03891604451</v>
      </c>
      <c r="AL23" s="43" t="n">
        <f aca="false">MAX(0,(AL22-AM22)*(1+Parameter!$C$62))</f>
        <v>0</v>
      </c>
      <c r="AM23" s="43" t="n">
        <f aca="false">IF(F23=0,0,MIN(AL23,Ansparphase!$BA$57*$CG$5))</f>
        <v>0</v>
      </c>
      <c r="AN23" s="43" t="n">
        <f aca="false">MAX(0,AM23*(1-IF(Ansparphase!$BA$57=0,1,MIN(1,Ansparphase!$BB$57/Ansparphase!$BA$57)))*(1-Parameter!$C$37))*Parameter!$C$36</f>
        <v>0</v>
      </c>
      <c r="AO23" s="43" t="n">
        <f aca="false">AI23+AK23*(1-IF(Ansparphase!$AZ$57=0,1,MIN(1,$CG$7/Ansparphase!$AZ$57)))*Parameter!$C$52</f>
        <v>16240.3218755518</v>
      </c>
      <c r="AP23" s="43" t="n">
        <f aca="false">MAX(0,G23+AO23)</f>
        <v>66779.7001280995</v>
      </c>
      <c r="AQ23" s="43" t="n">
        <f aca="false">MAX(0,(AP23+IF(Eingaben!$C$14=3,Eingaben!$C$15,0))/Parameter!$C$57/D23)</f>
        <v>29069.4791589394</v>
      </c>
      <c r="AR23" s="43" t="n">
        <f aca="false">Parameter!$C$57*D23*(IF(AQ23&lt;=Parameter!$C$18,0,IF(AQ23&lt;=Parameter!$C$19,(Parameter!$C$22*(AQ23-Parameter!$C$18)/10000+Parameter!$C$23)*(AQ23-Parameter!$C$18)/10000,IF(AQ23&lt;=Parameter!$C$20,(Parameter!$C$24*(AQ23-Parameter!$C$19)/10000+Parameter!$C$25)*(AQ23-Parameter!$C$19)/10000+Parameter!$C$26,IF(AQ23&lt;=Parameter!$C$21,0.42*AQ23-Parameter!$C$27,0.45*AQ23-Parameter!$C$28)))))</f>
        <v>9088.54665466919</v>
      </c>
      <c r="AS23" s="43" t="n">
        <f aca="false">AR23+IF(AR23&lt;=(Parameter!$C$30*Parameter!$C$57*D23),0,MIN(Parameter!$C$29*AR23,Parameter!$C$31*(AR23-(Parameter!$C$30*Parameter!$C$57*D23))))+Eingaben!$C$16*AR23</f>
        <v>9088.54665466919</v>
      </c>
      <c r="AT23" s="43" t="n">
        <f aca="false">AI23+AK23-(AS23-J23)+AM23-AN23</f>
        <v>16017.7388577887</v>
      </c>
      <c r="AU23" s="43" t="n">
        <f aca="false">MAX(0,(AU22-AW22)*(1+Parameter!$C$62))</f>
        <v>27449.8713236581</v>
      </c>
      <c r="AV23" s="43" t="n">
        <f aca="false">MAX(0,AV22-AV22*IF(AU22=0,0,AW22/AU22))</f>
        <v>5821.88396531201</v>
      </c>
      <c r="AW23" s="43" t="n">
        <f aca="false">IF(F23=0,0,MIN(AU23,Ansparphase!$BE$57*$CG$5))</f>
        <v>15960.3275243806</v>
      </c>
      <c r="AX23" s="43" t="n">
        <f aca="false">AW23-IF(AU23=0,0,AV23*AW23/AU23)</f>
        <v>12575.2779625914</v>
      </c>
      <c r="AY23" s="43" t="n">
        <f aca="false">MAX(0,AX23*(1-Parameter!$C$37)-Parameter!$C$67)*Parameter!$C$36</f>
        <v>2057.96069384344</v>
      </c>
      <c r="AZ23" s="43" t="n">
        <f aca="false">AW23-AY23</f>
        <v>13902.3668305372</v>
      </c>
      <c r="BA23" s="41" t="n">
        <f aca="false">1/(1+Eingaben!$C$37)^C23</f>
        <v>0.435304128397959</v>
      </c>
      <c r="BB23" s="43" t="n">
        <f aca="false">IF(AND(Eingaben!$C$28=2,F23=0),(Ansparphase!$AW$57+Ansparphase!$AX$57)*Eingaben!$C$29/10000*12*(1+Eingaben!$C$30)^15,0)</f>
        <v>0</v>
      </c>
      <c r="BC23" s="41" t="n">
        <f aca="false">1/(1+Parameter!$C$68)^15</f>
        <v>0.445105346934437</v>
      </c>
    </row>
    <row r="24" customFormat="false" ht="15" hidden="false" customHeight="false" outlineLevel="0" collapsed="false">
      <c r="A24" s="30" t="n">
        <f aca="false">2026+C24</f>
        <v>2069</v>
      </c>
      <c r="B24" s="30" t="n">
        <f aca="false">Eingaben!$C$6+16</f>
        <v>83</v>
      </c>
      <c r="C24" s="30" t="n">
        <f aca="false">B24-Eingaben!$C$5</f>
        <v>43</v>
      </c>
      <c r="D24" s="38" t="n">
        <f aca="false">(1+Eingaben!$C$17)^C24</f>
        <v>2.34318935534539</v>
      </c>
      <c r="E24" s="38" t="n">
        <f aca="false">(1+Eingaben!$C$13)^C24</f>
        <v>2.89152007508867</v>
      </c>
      <c r="F24" s="30" t="n">
        <f aca="false">IF(B24&lt;=Eingaben!$C$7,1,0)</f>
        <v>1</v>
      </c>
      <c r="G24" s="40" t="n">
        <f aca="false">Eingaben!$C$40*(1+Eingaben!$C$37)^C24</f>
        <v>51550.1658175986</v>
      </c>
      <c r="H24" s="40" t="n">
        <f aca="false">MAX(0,(G24+IF(Eingaben!$C$14=3,Eingaben!$C$15,0))/Parameter!$C$57/D24)</f>
        <v>22000</v>
      </c>
      <c r="I24" s="40" t="n">
        <f aca="false">Parameter!$C$57*D24*(IF(H24&lt;=Parameter!$C$18,0,IF(H24&lt;=Parameter!$C$19,(Parameter!$C$22*(H24-Parameter!$C$18)/10000+Parameter!$C$23)*(H24-Parameter!$C$18)/10000,IF(H24&lt;=Parameter!$C$20,(Parameter!$C$24*(H24-Parameter!$C$19)/10000+Parameter!$C$25)*(H24-Parameter!$C$19)/10000+Parameter!$C$26,IF(H24&lt;=Parameter!$C$21,0.42*H24-Parameter!$C$27,0.45*H24-Parameter!$C$28)))))</f>
        <v>4856.02346927692</v>
      </c>
      <c r="J24" s="40" t="n">
        <f aca="false">I24+IF(I24&lt;=(Parameter!$C$30*Parameter!$C$57*D24),0,MIN(Parameter!$C$29*I24,Parameter!$C$31*(I24-(Parameter!$C$30*Parameter!$C$57*D24))))+Eingaben!$C$16*I24</f>
        <v>4856.02346927692</v>
      </c>
      <c r="K24" s="40" t="n">
        <f aca="false">IF(Eingaben!$C$28=1,IF(0=1,Ansparphase!$AW$57,0),(Ansparphase!$AW$57+Ansparphase!$AX$57)*Eingaben!$C$29/10000*12*(1+Eingaben!$C$30)^16*F24*IF((Ansparphase!$AW$57+Ansparphase!$AX$57)=0,0,Ansparphase!$AW$57/(Ansparphase!$AW$57+Ansparphase!$AX$57)))</f>
        <v>0</v>
      </c>
      <c r="L24" s="40" t="n">
        <f aca="false">IF(Eingaben!$C$28=1,IF(0=1,Ansparphase!$AX$57,0),(Ansparphase!$AW$57+Ansparphase!$AX$57)*Eingaben!$C$29/10000*12*(1+Eingaben!$C$30)^16*F24*IF((Ansparphase!$AW$57+Ansparphase!$AX$57)=0,0,Ansparphase!$AX$57/(Ansparphase!$AW$57+Ansparphase!$AX$57)))</f>
        <v>0</v>
      </c>
      <c r="M24" s="40" t="n">
        <f aca="false">K24+L24</f>
        <v>0</v>
      </c>
      <c r="N24" s="40" t="n">
        <f aca="false">K24+L24*IF(Eingaben!$C$28=1,(1-IF(Ansparphase!$AX$57=0,1,MIN(1,$CG$8/Ansparphase!$AX$57)))*Parameter!$C$52,Parameter!$C$51)</f>
        <v>0</v>
      </c>
      <c r="O24" s="40" t="n">
        <f aca="false">IF(Eingaben!$C$28=1,IF(16&lt;10,(Ansparphase!$AW$57+Ansparphase!$AX$57)/120,0),M24/12)</f>
        <v>0</v>
      </c>
      <c r="P24" s="40" t="n">
        <f aca="false">Eingaben!$C$41/12*(1+Eingaben!$C$13)^C24</f>
        <v>5783.04015017733</v>
      </c>
      <c r="Q24" s="40" t="n">
        <f aca="false">MAX(0,MIN(O24,Parameter!$C$5/12*E24-P24))</f>
        <v>0</v>
      </c>
      <c r="R24" s="40" t="n">
        <f aca="false">IF(Eingaben!$C$39=2,0,MAX(0,Q24-Parameter!$C$7*E24)*Parameter!$C$54*12)</f>
        <v>0</v>
      </c>
      <c r="S24" s="40" t="n">
        <f aca="false">IF(Eingaben!$C$39=2,0,IF(O24&gt;Parameter!$C$7*E24,Q24*Parameter!$C$59*12,0))</f>
        <v>0</v>
      </c>
      <c r="T24" s="40" t="n">
        <f aca="false">R24+S24</f>
        <v>0</v>
      </c>
      <c r="U24" s="40" t="n">
        <f aca="false">Ansparphase!$BJ$57*Parameter!$C$9*12*(1+Eingaben!$C$13)^(Eingaben!$C$6-Eingaben!$C$5)*(1+Eingaben!$C$13)^16*F24</f>
        <v>2351.77441124627</v>
      </c>
      <c r="V24" s="40" t="n">
        <f aca="false">U24*Parameter!$C$66</f>
        <v>2292.98005096511</v>
      </c>
      <c r="W24" s="40" t="n">
        <f aca="false">IF(Eingaben!$C$39=2,0,U24*(Parameter!$C$53+Parameter!$C$59))</f>
        <v>290.444139788914</v>
      </c>
      <c r="X24" s="40" t="n">
        <f aca="false">MAX(0,G24-V24+N24-T24+W24)</f>
        <v>49547.6299064224</v>
      </c>
      <c r="Y24" s="40" t="n">
        <f aca="false">MAX(0,(X24+IF(Eingaben!$C$14=3,Eingaben!$C$15,0))/Parameter!$C$57/D24)</f>
        <v>21145.3802456861</v>
      </c>
      <c r="Z24" s="40" t="n">
        <f aca="false">Parameter!$C$57*D24*(IF(Y24&lt;=Parameter!$C$18,0,IF(Y24&lt;=Parameter!$C$19,(Parameter!$C$22*(Y24-Parameter!$C$18)/10000+Parameter!$C$23)*(Y24-Parameter!$C$18)/10000,IF(Y24&lt;=Parameter!$C$20,(Parameter!$C$24*(Y24-Parameter!$C$19)/10000+Parameter!$C$25)*(Y24-Parameter!$C$19)/10000+Parameter!$C$26,IF(Y24&lt;=Parameter!$C$21,0.42*Y24-Parameter!$C$27,0.45*Y24-Parameter!$C$28)))))</f>
        <v>4349.8534505073</v>
      </c>
      <c r="AA24" s="40" t="n">
        <f aca="false">Z24+IF(Z24&lt;=(Parameter!$C$30*Parameter!$C$57*D24),0,MIN(Parameter!$C$29*Z24,Parameter!$C$31*(Z24-(Parameter!$C$30*Parameter!$C$57*D24))))+Eingaben!$C$16*Z24</f>
        <v>4349.8534505073</v>
      </c>
      <c r="AB24" s="40" t="n">
        <f aca="false">MAX(0,G24-V24+N24/5-T24+W24)</f>
        <v>49547.6299064224</v>
      </c>
      <c r="AC24" s="40" t="n">
        <f aca="false">MAX(0,(AB24+IF(Eingaben!$C$14=3,Eingaben!$C$15,0))/Parameter!$C$57/D24)</f>
        <v>21145.3802456861</v>
      </c>
      <c r="AD24" s="40" t="n">
        <f aca="false">Parameter!$C$57*D24*(IF(AC24&lt;=Parameter!$C$18,0,IF(AC24&lt;=Parameter!$C$19,(Parameter!$C$22*(AC24-Parameter!$C$18)/10000+Parameter!$C$23)*(AC24-Parameter!$C$18)/10000,IF(AC24&lt;=Parameter!$C$20,(Parameter!$C$24*(AC24-Parameter!$C$19)/10000+Parameter!$C$25)*(AC24-Parameter!$C$19)/10000+Parameter!$C$26,IF(AC24&lt;=Parameter!$C$21,0.42*AC24-Parameter!$C$27,0.45*AC24-Parameter!$C$28)))))</f>
        <v>4349.8534505073</v>
      </c>
      <c r="AE24" s="40" t="n">
        <f aca="false">AD24+IF(AD24&lt;=(Parameter!$C$30*Parameter!$C$57*D24),0,MIN(Parameter!$C$29*AD24,Parameter!$C$31*(AD24-(Parameter!$C$30*Parameter!$C$57*D24))))+Eingaben!$C$16*AD24</f>
        <v>4349.8534505073</v>
      </c>
      <c r="AF24" s="40" t="n">
        <f aca="false">IF(AND(Eingaben!$C$31=1,Eingaben!$C$28=1,M24&gt;0),MIN(AA24-J24,5*(AE24-J24)),AA24-J24)</f>
        <v>-506.170018769621</v>
      </c>
      <c r="AG24" s="40" t="n">
        <f aca="false">M24-T24-AF24-U24+W24</f>
        <v>-1555.16025268774</v>
      </c>
      <c r="AH24" s="40" t="n">
        <f aca="false">MAX(0,(AH23-AI23)*(1+Parameter!$C$61))</f>
        <v>13185.820735844</v>
      </c>
      <c r="AI24" s="40" t="n">
        <f aca="false">IF(F24=0,0,MIN(AH24,Ansparphase!$AY$57*IF(16=0,Eingaben!$C$42,0)+(Ansparphase!$AY$57*(1-Eingaben!$C$42))*$CG$4))</f>
        <v>13185.820735844</v>
      </c>
      <c r="AJ24" s="40" t="n">
        <f aca="false">MAX(0,(AJ23-AK23)*(1+Parameter!$C$61))</f>
        <v>5317.67630484829</v>
      </c>
      <c r="AK24" s="40" t="n">
        <f aca="false">IF(F24=0,0,MIN(AJ24,Ansparphase!$AZ$57*IF(16=0,Eingaben!$C$42,0)+(Ansparphase!$AZ$57*(1-Eingaben!$C$42))*$CG$4))</f>
        <v>5317.67630484829</v>
      </c>
      <c r="AL24" s="40" t="n">
        <f aca="false">MAX(0,(AL23-AM23)*(1+Parameter!$C$62))</f>
        <v>0</v>
      </c>
      <c r="AM24" s="40" t="n">
        <f aca="false">IF(F24=0,0,MIN(AL24,Ansparphase!$BA$57*$CG$5))</f>
        <v>0</v>
      </c>
      <c r="AN24" s="40" t="n">
        <f aca="false">MAX(0,AM24*(1-IF(Ansparphase!$BA$57=0,1,MIN(1,Ansparphase!$BB$57/Ansparphase!$BA$57)))*(1-Parameter!$C$37))*Parameter!$C$36</f>
        <v>0</v>
      </c>
      <c r="AO24" s="40" t="n">
        <f aca="false">AI24+AK24*(1-IF(Ansparphase!$AZ$57=0,1,MIN(1,$CG$7/Ansparphase!$AZ$57)))*Parameter!$C$52</f>
        <v>14770.0017155271</v>
      </c>
      <c r="AP24" s="40" t="n">
        <f aca="false">MAX(0,G24+AO24)</f>
        <v>66320.1675331257</v>
      </c>
      <c r="AQ24" s="40" t="n">
        <f aca="false">MAX(0,(AP24+IF(Eingaben!$C$14=3,Eingaben!$C$15,0))/Parameter!$C$57/D24)</f>
        <v>28303.3752188371</v>
      </c>
      <c r="AR24" s="40" t="n">
        <f aca="false">Parameter!$C$57*D24*(IF(AQ24&lt;=Parameter!$C$18,0,IF(AQ24&lt;=Parameter!$C$19,(Parameter!$C$22*(AQ24-Parameter!$C$18)/10000+Parameter!$C$23)*(AQ24-Parameter!$C$18)/10000,IF(AQ24&lt;=Parameter!$C$20,(Parameter!$C$24*(AQ24-Parameter!$C$19)/10000+Parameter!$C$25)*(AQ24-Parameter!$C$19)/10000+Parameter!$C$26,IF(AQ24&lt;=Parameter!$C$21,0.42*AQ24-Parameter!$C$27,0.45*AQ24-Parameter!$C$28)))))</f>
        <v>8772.36334067874</v>
      </c>
      <c r="AS24" s="40" t="n">
        <f aca="false">AR24+IF(AR24&lt;=(Parameter!$C$30*Parameter!$C$57*D24),0,MIN(Parameter!$C$29*AR24,Parameter!$C$31*(AR24-(Parameter!$C$30*Parameter!$C$57*D24))))+Eingaben!$C$16*AR24</f>
        <v>8772.36334067874</v>
      </c>
      <c r="AT24" s="40" t="n">
        <f aca="false">AI24+AK24-(AS24-J24)+AM24-AN24</f>
        <v>14587.1571692905</v>
      </c>
      <c r="AU24" s="40" t="n">
        <f aca="false">MAX(0,(AU23-AW23)*(1+Parameter!$C$62))</f>
        <v>12270.8327776284</v>
      </c>
      <c r="AV24" s="40" t="n">
        <f aca="false">MAX(0,AV23-AV23*IF(AU23=0,0,AW23/AU23))</f>
        <v>2436.83440352279</v>
      </c>
      <c r="AW24" s="40" t="n">
        <f aca="false">IF(F24=0,0,MIN(AU24,Ansparphase!$BE$57*$CG$5))</f>
        <v>12270.8327776284</v>
      </c>
      <c r="AX24" s="40" t="n">
        <f aca="false">AW24-IF(AU24=0,0,AV24*AW24/AU24)</f>
        <v>9833.99837410561</v>
      </c>
      <c r="AY24" s="40" t="n">
        <f aca="false">MAX(0,AX24*(1-Parameter!$C$37)-Parameter!$C$67)*Parameter!$C$36</f>
        <v>1551.85194981925</v>
      </c>
      <c r="AZ24" s="40" t="n">
        <f aca="false">AW24-AY24</f>
        <v>10718.9808278092</v>
      </c>
      <c r="BA24" s="38" t="n">
        <f aca="false">1/(1+Eingaben!$C$37)^C24</f>
        <v>0.426768753331332</v>
      </c>
      <c r="BB24" s="40" t="n">
        <f aca="false">IF(AND(Eingaben!$C$28=2,F24=0),(Ansparphase!$AW$57+Ansparphase!$AX$57)*Eingaben!$C$29/10000*12*(1+Eingaben!$C$30)^16,0)</f>
        <v>0</v>
      </c>
      <c r="BC24" s="38" t="n">
        <f aca="false">1/(1+Parameter!$C$68)^16</f>
        <v>0.421722719869891</v>
      </c>
    </row>
    <row r="25" customFormat="false" ht="15" hidden="false" customHeight="false" outlineLevel="0" collapsed="false">
      <c r="A25" s="32" t="n">
        <f aca="false">2026+C25</f>
        <v>2070</v>
      </c>
      <c r="B25" s="32" t="n">
        <f aca="false">Eingaben!$C$6+17</f>
        <v>84</v>
      </c>
      <c r="C25" s="32" t="n">
        <f aca="false">B25-Eingaben!$C$5</f>
        <v>44</v>
      </c>
      <c r="D25" s="41" t="n">
        <f aca="false">(1+Eingaben!$C$17)^C25</f>
        <v>2.3900531424523</v>
      </c>
      <c r="E25" s="41" t="n">
        <f aca="false">(1+Eingaben!$C$13)^C25</f>
        <v>2.96380807696588</v>
      </c>
      <c r="F25" s="32" t="n">
        <f aca="false">IF(B25&lt;=Eingaben!$C$7,1,0)</f>
        <v>1</v>
      </c>
      <c r="G25" s="43" t="n">
        <f aca="false">Eingaben!$C$40*(1+Eingaben!$C$37)^C25</f>
        <v>52581.1691339506</v>
      </c>
      <c r="H25" s="43" t="n">
        <f aca="false">MAX(0,(G25+IF(Eingaben!$C$14=3,Eingaben!$C$15,0))/Parameter!$C$57/D25)</f>
        <v>22000</v>
      </c>
      <c r="I25" s="43" t="n">
        <f aca="false">Parameter!$C$57*D25*(IF(H25&lt;=Parameter!$C$18,0,IF(H25&lt;=Parameter!$C$19,(Parameter!$C$22*(H25-Parameter!$C$18)/10000+Parameter!$C$23)*(H25-Parameter!$C$18)/10000,IF(H25&lt;=Parameter!$C$20,(Parameter!$C$24*(H25-Parameter!$C$19)/10000+Parameter!$C$25)*(H25-Parameter!$C$19)/10000+Parameter!$C$26,IF(H25&lt;=Parameter!$C$21,0.42*H25-Parameter!$C$27,0.45*H25-Parameter!$C$28)))))</f>
        <v>4953.14393866246</v>
      </c>
      <c r="J25" s="43" t="n">
        <f aca="false">I25+IF(I25&lt;=(Parameter!$C$30*Parameter!$C$57*D25),0,MIN(Parameter!$C$29*I25,Parameter!$C$31*(I25-(Parameter!$C$30*Parameter!$C$57*D25))))+Eingaben!$C$16*I25</f>
        <v>4953.14393866246</v>
      </c>
      <c r="K25" s="43" t="n">
        <f aca="false">IF(Eingaben!$C$28=1,IF(0=1,Ansparphase!$AW$57,0),(Ansparphase!$AW$57+Ansparphase!$AX$57)*Eingaben!$C$29/10000*12*(1+Eingaben!$C$30)^17*F25*IF((Ansparphase!$AW$57+Ansparphase!$AX$57)=0,0,Ansparphase!$AW$57/(Ansparphase!$AW$57+Ansparphase!$AX$57)))</f>
        <v>0</v>
      </c>
      <c r="L25" s="43" t="n">
        <f aca="false">IF(Eingaben!$C$28=1,IF(0=1,Ansparphase!$AX$57,0),(Ansparphase!$AW$57+Ansparphase!$AX$57)*Eingaben!$C$29/10000*12*(1+Eingaben!$C$30)^17*F25*IF((Ansparphase!$AW$57+Ansparphase!$AX$57)=0,0,Ansparphase!$AX$57/(Ansparphase!$AW$57+Ansparphase!$AX$57)))</f>
        <v>0</v>
      </c>
      <c r="M25" s="43" t="n">
        <f aca="false">K25+L25</f>
        <v>0</v>
      </c>
      <c r="N25" s="43" t="n">
        <f aca="false">K25+L25*IF(Eingaben!$C$28=1,(1-IF(Ansparphase!$AX$57=0,1,MIN(1,$CG$8/Ansparphase!$AX$57)))*Parameter!$C$52,Parameter!$C$51)</f>
        <v>0</v>
      </c>
      <c r="O25" s="43" t="n">
        <f aca="false">IF(Eingaben!$C$28=1,IF(17&lt;10,(Ansparphase!$AW$57+Ansparphase!$AX$57)/120,0),M25/12)</f>
        <v>0</v>
      </c>
      <c r="P25" s="43" t="n">
        <f aca="false">Eingaben!$C$41/12*(1+Eingaben!$C$13)^C25</f>
        <v>5927.61615393176</v>
      </c>
      <c r="Q25" s="43" t="n">
        <f aca="false">MAX(0,MIN(O25,Parameter!$C$5/12*E25-P25))</f>
        <v>0</v>
      </c>
      <c r="R25" s="43" t="n">
        <f aca="false">IF(Eingaben!$C$39=2,0,MAX(0,Q25-Parameter!$C$7*E25)*Parameter!$C$54*12)</f>
        <v>0</v>
      </c>
      <c r="S25" s="43" t="n">
        <f aca="false">IF(Eingaben!$C$39=2,0,IF(O25&gt;Parameter!$C$7*E25,Q25*Parameter!$C$59*12,0))</f>
        <v>0</v>
      </c>
      <c r="T25" s="43" t="n">
        <f aca="false">R25+S25</f>
        <v>0</v>
      </c>
      <c r="U25" s="43" t="n">
        <f aca="false">Ansparphase!$BJ$57*Parameter!$C$9*12*(1+Eingaben!$C$13)^(Eingaben!$C$6-Eingaben!$C$5)*(1+Eingaben!$C$13)^17*F25</f>
        <v>2410.56877152743</v>
      </c>
      <c r="V25" s="43" t="n">
        <f aca="false">U25*Parameter!$C$66</f>
        <v>2350.30455223924</v>
      </c>
      <c r="W25" s="43" t="n">
        <f aca="false">IF(Eingaben!$C$39=2,0,U25*(Parameter!$C$53+Parameter!$C$59))</f>
        <v>297.705243283637</v>
      </c>
      <c r="X25" s="43" t="n">
        <f aca="false">MAX(0,G25-V25+N25-T25+W25)</f>
        <v>50528.569824995</v>
      </c>
      <c r="Y25" s="43" t="n">
        <f aca="false">MAX(0,(X25+IF(Eingaben!$C$14=3,Eingaben!$C$15,0))/Parameter!$C$57/D25)</f>
        <v>21141.190933165</v>
      </c>
      <c r="Z25" s="43" t="n">
        <f aca="false">Parameter!$C$57*D25*(IF(Y25&lt;=Parameter!$C$18,0,IF(Y25&lt;=Parameter!$C$19,(Parameter!$C$22*(Y25-Parameter!$C$18)/10000+Parameter!$C$23)*(Y25-Parameter!$C$18)/10000,IF(Y25&lt;=Parameter!$C$20,(Parameter!$C$24*(Y25-Parameter!$C$19)/10000+Parameter!$C$25)*(Y25-Parameter!$C$19)/10000+Parameter!$C$26,IF(Y25&lt;=Parameter!$C$21,0.42*Y25-Parameter!$C$27,0.45*Y25-Parameter!$C$28)))))</f>
        <v>4434.33455425795</v>
      </c>
      <c r="AA25" s="43" t="n">
        <f aca="false">Z25+IF(Z25&lt;=(Parameter!$C$30*Parameter!$C$57*D25),0,MIN(Parameter!$C$29*Z25,Parameter!$C$31*(Z25-(Parameter!$C$30*Parameter!$C$57*D25))))+Eingaben!$C$16*Z25</f>
        <v>4434.33455425795</v>
      </c>
      <c r="AB25" s="43" t="n">
        <f aca="false">MAX(0,G25-V25+N25/5-T25+W25)</f>
        <v>50528.569824995</v>
      </c>
      <c r="AC25" s="43" t="n">
        <f aca="false">MAX(0,(AB25+IF(Eingaben!$C$14=3,Eingaben!$C$15,0))/Parameter!$C$57/D25)</f>
        <v>21141.190933165</v>
      </c>
      <c r="AD25" s="43" t="n">
        <f aca="false">Parameter!$C$57*D25*(IF(AC25&lt;=Parameter!$C$18,0,IF(AC25&lt;=Parameter!$C$19,(Parameter!$C$22*(AC25-Parameter!$C$18)/10000+Parameter!$C$23)*(AC25-Parameter!$C$18)/10000,IF(AC25&lt;=Parameter!$C$20,(Parameter!$C$24*(AC25-Parameter!$C$19)/10000+Parameter!$C$25)*(AC25-Parameter!$C$19)/10000+Parameter!$C$26,IF(AC25&lt;=Parameter!$C$21,0.42*AC25-Parameter!$C$27,0.45*AC25-Parameter!$C$28)))))</f>
        <v>4434.33455425795</v>
      </c>
      <c r="AE25" s="43" t="n">
        <f aca="false">AD25+IF(AD25&lt;=(Parameter!$C$30*Parameter!$C$57*D25),0,MIN(Parameter!$C$29*AD25,Parameter!$C$31*(AD25-(Parameter!$C$30*Parameter!$C$57*D25))))+Eingaben!$C$16*AD25</f>
        <v>4434.33455425795</v>
      </c>
      <c r="AF25" s="43" t="n">
        <f aca="false">IF(AND(Eingaben!$C$31=1,Eingaben!$C$28=1,M25&gt;0),MIN(AA25-J25,5*(AE25-J25)),AA25-J25)</f>
        <v>-518.809384404507</v>
      </c>
      <c r="AG25" s="43" t="n">
        <f aca="false">M25-T25-AF25-U25+W25</f>
        <v>-1594.05414383928</v>
      </c>
      <c r="AH25" s="43" t="n">
        <f aca="false">MAX(0,(AH24-AI24)*(1+Parameter!$C$61))</f>
        <v>0</v>
      </c>
      <c r="AI25" s="43" t="n">
        <f aca="false">IF(F25=0,0,MIN(AH25,Ansparphase!$AY$57*IF(17=0,Eingaben!$C$42,0)+(Ansparphase!$AY$57*(1-Eingaben!$C$42))*$CG$4))</f>
        <v>0</v>
      </c>
      <c r="AJ25" s="43" t="n">
        <f aca="false">MAX(0,(AJ24-AK24)*(1+Parameter!$C$61))</f>
        <v>0</v>
      </c>
      <c r="AK25" s="43" t="n">
        <f aca="false">IF(F25=0,0,MIN(AJ25,Ansparphase!$AZ$57*IF(17=0,Eingaben!$C$42,0)+(Ansparphase!$AZ$57*(1-Eingaben!$C$42))*$CG$4))</f>
        <v>0</v>
      </c>
      <c r="AL25" s="43" t="n">
        <f aca="false">MAX(0,(AL24-AM24)*(1+Parameter!$C$62))</f>
        <v>0</v>
      </c>
      <c r="AM25" s="43" t="n">
        <f aca="false">IF(F25=0,0,MIN(AL25,Ansparphase!$BA$57*$CG$5))</f>
        <v>0</v>
      </c>
      <c r="AN25" s="43" t="n">
        <f aca="false">MAX(0,AM25*(1-IF(Ansparphase!$BA$57=0,1,MIN(1,Ansparphase!$BB$57/Ansparphase!$BA$57)))*(1-Parameter!$C$37))*Parameter!$C$36</f>
        <v>0</v>
      </c>
      <c r="AO25" s="43" t="n">
        <f aca="false">AI25+AK25*(1-IF(Ansparphase!$AZ$57=0,1,MIN(1,$CG$7/Ansparphase!$AZ$57)))*Parameter!$C$52</f>
        <v>0</v>
      </c>
      <c r="AP25" s="43" t="n">
        <f aca="false">MAX(0,G25+AO25)</f>
        <v>52581.1691339506</v>
      </c>
      <c r="AQ25" s="43" t="n">
        <f aca="false">MAX(0,(AP25+IF(Eingaben!$C$14=3,Eingaben!$C$15,0))/Parameter!$C$57/D25)</f>
        <v>22000</v>
      </c>
      <c r="AR25" s="43" t="n">
        <f aca="false">Parameter!$C$57*D25*(IF(AQ25&lt;=Parameter!$C$18,0,IF(AQ25&lt;=Parameter!$C$19,(Parameter!$C$22*(AQ25-Parameter!$C$18)/10000+Parameter!$C$23)*(AQ25-Parameter!$C$18)/10000,IF(AQ25&lt;=Parameter!$C$20,(Parameter!$C$24*(AQ25-Parameter!$C$19)/10000+Parameter!$C$25)*(AQ25-Parameter!$C$19)/10000+Parameter!$C$26,IF(AQ25&lt;=Parameter!$C$21,0.42*AQ25-Parameter!$C$27,0.45*AQ25-Parameter!$C$28)))))</f>
        <v>4953.14393866246</v>
      </c>
      <c r="AS25" s="43" t="n">
        <f aca="false">AR25+IF(AR25&lt;=(Parameter!$C$30*Parameter!$C$57*D25),0,MIN(Parameter!$C$29*AR25,Parameter!$C$31*(AR25-(Parameter!$C$30*Parameter!$C$57*D25))))+Eingaben!$C$16*AR25</f>
        <v>4953.14393866246</v>
      </c>
      <c r="AT25" s="43" t="n">
        <f aca="false">AI25+AK25-(AS25-J25)+AM25-AN25</f>
        <v>0</v>
      </c>
      <c r="AU25" s="43" t="n">
        <f aca="false">MAX(0,(AU24-AW24)*(1+Parameter!$C$62))</f>
        <v>0</v>
      </c>
      <c r="AV25" s="43" t="n">
        <f aca="false">MAX(0,AV24-AV24*IF(AU24=0,0,AW24/AU24))</f>
        <v>0</v>
      </c>
      <c r="AW25" s="43" t="n">
        <f aca="false">IF(F25=0,0,MIN(AU25,Ansparphase!$BE$57*$CG$5))</f>
        <v>0</v>
      </c>
      <c r="AX25" s="43" t="n">
        <f aca="false">AW25-IF(AU25=0,0,AV25*AW25/AU25)</f>
        <v>0</v>
      </c>
      <c r="AY25" s="43" t="n">
        <f aca="false">MAX(0,AX25*(1-Parameter!$C$37)-Parameter!$C$67)*Parameter!$C$36</f>
        <v>0</v>
      </c>
      <c r="AZ25" s="43" t="n">
        <f aca="false">AW25-AY25</f>
        <v>0</v>
      </c>
      <c r="BA25" s="41" t="n">
        <f aca="false">1/(1+Eingaben!$C$37)^C25</f>
        <v>0.418400738560129</v>
      </c>
      <c r="BB25" s="43" t="n">
        <f aca="false">IF(AND(Eingaben!$C$28=2,F25=0),(Ansparphase!$AW$57+Ansparphase!$AX$57)*Eingaben!$C$29/10000*12*(1+Eingaben!$C$30)^17,0)</f>
        <v>0</v>
      </c>
      <c r="BC25" s="41" t="n">
        <f aca="false">1/(1+Parameter!$C$68)^17</f>
        <v>0.399568447513293</v>
      </c>
    </row>
    <row r="26" customFormat="false" ht="15" hidden="false" customHeight="false" outlineLevel="0" collapsed="false">
      <c r="A26" s="30" t="n">
        <f aca="false">2026+C26</f>
        <v>2071</v>
      </c>
      <c r="B26" s="30" t="n">
        <f aca="false">Eingaben!$C$6+18</f>
        <v>85</v>
      </c>
      <c r="C26" s="30" t="n">
        <f aca="false">B26-Eingaben!$C$5</f>
        <v>45</v>
      </c>
      <c r="D26" s="38" t="n">
        <f aca="false">(1+Eingaben!$C$17)^C26</f>
        <v>2.43785420530135</v>
      </c>
      <c r="E26" s="38" t="n">
        <f aca="false">(1+Eingaben!$C$13)^C26</f>
        <v>3.03790327889003</v>
      </c>
      <c r="F26" s="30" t="n">
        <f aca="false">IF(B26&lt;=Eingaben!$C$7,1,0)</f>
        <v>1</v>
      </c>
      <c r="G26" s="40" t="n">
        <f aca="false">Eingaben!$C$40*(1+Eingaben!$C$37)^C26</f>
        <v>53632.7925166296</v>
      </c>
      <c r="H26" s="40" t="n">
        <f aca="false">MAX(0,(G26+IF(Eingaben!$C$14=3,Eingaben!$C$15,0))/Parameter!$C$57/D26)</f>
        <v>22000</v>
      </c>
      <c r="I26" s="40" t="n">
        <f aca="false">Parameter!$C$57*D26*(IF(H26&lt;=Parameter!$C$18,0,IF(H26&lt;=Parameter!$C$19,(Parameter!$C$22*(H26-Parameter!$C$18)/10000+Parameter!$C$23)*(H26-Parameter!$C$18)/10000,IF(H26&lt;=Parameter!$C$20,(Parameter!$C$24*(H26-Parameter!$C$19)/10000+Parameter!$C$25)*(H26-Parameter!$C$19)/10000+Parameter!$C$26,IF(H26&lt;=Parameter!$C$21,0.42*H26-Parameter!$C$27,0.45*H26-Parameter!$C$28)))))</f>
        <v>5052.20681743571</v>
      </c>
      <c r="J26" s="40" t="n">
        <f aca="false">I26+IF(I26&lt;=(Parameter!$C$30*Parameter!$C$57*D26),0,MIN(Parameter!$C$29*I26,Parameter!$C$31*(I26-(Parameter!$C$30*Parameter!$C$57*D26))))+Eingaben!$C$16*I26</f>
        <v>5052.20681743571</v>
      </c>
      <c r="K26" s="40" t="n">
        <f aca="false">IF(Eingaben!$C$28=1,IF(0=1,Ansparphase!$AW$57,0),(Ansparphase!$AW$57+Ansparphase!$AX$57)*Eingaben!$C$29/10000*12*(1+Eingaben!$C$30)^18*F26*IF((Ansparphase!$AW$57+Ansparphase!$AX$57)=0,0,Ansparphase!$AW$57/(Ansparphase!$AW$57+Ansparphase!$AX$57)))</f>
        <v>0</v>
      </c>
      <c r="L26" s="40" t="n">
        <f aca="false">IF(Eingaben!$C$28=1,IF(0=1,Ansparphase!$AX$57,0),(Ansparphase!$AW$57+Ansparphase!$AX$57)*Eingaben!$C$29/10000*12*(1+Eingaben!$C$30)^18*F26*IF((Ansparphase!$AW$57+Ansparphase!$AX$57)=0,0,Ansparphase!$AX$57/(Ansparphase!$AW$57+Ansparphase!$AX$57)))</f>
        <v>0</v>
      </c>
      <c r="M26" s="40" t="n">
        <f aca="false">K26+L26</f>
        <v>0</v>
      </c>
      <c r="N26" s="40" t="n">
        <f aca="false">K26+L26*IF(Eingaben!$C$28=1,(1-IF(Ansparphase!$AX$57=0,1,MIN(1,$CG$8/Ansparphase!$AX$57)))*Parameter!$C$52,Parameter!$C$51)</f>
        <v>0</v>
      </c>
      <c r="O26" s="40" t="n">
        <f aca="false">IF(Eingaben!$C$28=1,IF(18&lt;10,(Ansparphase!$AW$57+Ansparphase!$AX$57)/120,0),M26/12)</f>
        <v>0</v>
      </c>
      <c r="P26" s="40" t="n">
        <f aca="false">Eingaben!$C$41/12*(1+Eingaben!$C$13)^C26</f>
        <v>6075.80655778006</v>
      </c>
      <c r="Q26" s="40" t="n">
        <f aca="false">MAX(0,MIN(O26,Parameter!$C$5/12*E26-P26))</f>
        <v>0</v>
      </c>
      <c r="R26" s="40" t="n">
        <f aca="false">IF(Eingaben!$C$39=2,0,MAX(0,Q26-Parameter!$C$7*E26)*Parameter!$C$54*12)</f>
        <v>0</v>
      </c>
      <c r="S26" s="40" t="n">
        <f aca="false">IF(Eingaben!$C$39=2,0,IF(O26&gt;Parameter!$C$7*E26,Q26*Parameter!$C$59*12,0))</f>
        <v>0</v>
      </c>
      <c r="T26" s="40" t="n">
        <f aca="false">R26+S26</f>
        <v>0</v>
      </c>
      <c r="U26" s="40" t="n">
        <f aca="false">Ansparphase!$BJ$57*Parameter!$C$9*12*(1+Eingaben!$C$13)^(Eingaben!$C$6-Eingaben!$C$5)*(1+Eingaben!$C$13)^18*F26</f>
        <v>2470.83299081561</v>
      </c>
      <c r="V26" s="40" t="n">
        <f aca="false">U26*Parameter!$C$66</f>
        <v>2409.06216604522</v>
      </c>
      <c r="W26" s="40" t="n">
        <f aca="false">IF(Eingaben!$C$39=2,0,U26*(Parameter!$C$53+Parameter!$C$59))</f>
        <v>305.147874365728</v>
      </c>
      <c r="X26" s="40" t="n">
        <f aca="false">MAX(0,G26-V26+N26-T26+W26)</f>
        <v>51528.8782249501</v>
      </c>
      <c r="Y26" s="40" t="n">
        <f aca="false">MAX(0,(X26+IF(Eingaben!$C$14=3,Eingaben!$C$15,0))/Parameter!$C$57/D26)</f>
        <v>21136.9810847981</v>
      </c>
      <c r="Z26" s="40" t="n">
        <f aca="false">Parameter!$C$57*D26*(IF(Y26&lt;=Parameter!$C$18,0,IF(Y26&lt;=Parameter!$C$19,(Parameter!$C$22*(Y26-Parameter!$C$18)/10000+Parameter!$C$23)*(Y26-Parameter!$C$18)/10000,IF(Y26&lt;=Parameter!$C$20,(Parameter!$C$24*(Y26-Parameter!$C$19)/10000+Parameter!$C$25)*(Y26-Parameter!$C$19)/10000+Parameter!$C$26,IF(Y26&lt;=Parameter!$C$21,0.42*Y26-Parameter!$C$27,0.45*Y26-Parameter!$C$28)))))</f>
        <v>4520.4425301653</v>
      </c>
      <c r="AA26" s="40" t="n">
        <f aca="false">Z26+IF(Z26&lt;=(Parameter!$C$30*Parameter!$C$57*D26),0,MIN(Parameter!$C$29*Z26,Parameter!$C$31*(Z26-(Parameter!$C$30*Parameter!$C$57*D26))))+Eingaben!$C$16*Z26</f>
        <v>4520.4425301653</v>
      </c>
      <c r="AB26" s="40" t="n">
        <f aca="false">MAX(0,G26-V26+N26/5-T26+W26)</f>
        <v>51528.8782249501</v>
      </c>
      <c r="AC26" s="40" t="n">
        <f aca="false">MAX(0,(AB26+IF(Eingaben!$C$14=3,Eingaben!$C$15,0))/Parameter!$C$57/D26)</f>
        <v>21136.9810847981</v>
      </c>
      <c r="AD26" s="40" t="n">
        <f aca="false">Parameter!$C$57*D26*(IF(AC26&lt;=Parameter!$C$18,0,IF(AC26&lt;=Parameter!$C$19,(Parameter!$C$22*(AC26-Parameter!$C$18)/10000+Parameter!$C$23)*(AC26-Parameter!$C$18)/10000,IF(AC26&lt;=Parameter!$C$20,(Parameter!$C$24*(AC26-Parameter!$C$19)/10000+Parameter!$C$25)*(AC26-Parameter!$C$19)/10000+Parameter!$C$26,IF(AC26&lt;=Parameter!$C$21,0.42*AC26-Parameter!$C$27,0.45*AC26-Parameter!$C$28)))))</f>
        <v>4520.4425301653</v>
      </c>
      <c r="AE26" s="40" t="n">
        <f aca="false">AD26+IF(AD26&lt;=(Parameter!$C$30*Parameter!$C$57*D26),0,MIN(Parameter!$C$29*AD26,Parameter!$C$31*(AD26-(Parameter!$C$30*Parameter!$C$57*D26))))+Eingaben!$C$16*AD26</f>
        <v>4520.4425301653</v>
      </c>
      <c r="AF26" s="40" t="n">
        <f aca="false">IF(AND(Eingaben!$C$31=1,Eingaben!$C$28=1,M26&gt;0),MIN(AA26-J26,5*(AE26-J26)),AA26-J26)</f>
        <v>-531.764287270406</v>
      </c>
      <c r="AG26" s="40" t="n">
        <f aca="false">M26-T26-AF26-U26+W26</f>
        <v>-1633.92082917948</v>
      </c>
      <c r="AH26" s="40" t="n">
        <f aca="false">MAX(0,(AH25-AI25)*(1+Parameter!$C$61))</f>
        <v>0</v>
      </c>
      <c r="AI26" s="40" t="n">
        <f aca="false">IF(F26=0,0,MIN(AH26,Ansparphase!$AY$57*IF(18=0,Eingaben!$C$42,0)+(Ansparphase!$AY$57*(1-Eingaben!$C$42))*$CG$4))</f>
        <v>0</v>
      </c>
      <c r="AJ26" s="40" t="n">
        <f aca="false">MAX(0,(AJ25-AK25)*(1+Parameter!$C$61))</f>
        <v>0</v>
      </c>
      <c r="AK26" s="40" t="n">
        <f aca="false">IF(F26=0,0,MIN(AJ26,Ansparphase!$AZ$57*IF(18=0,Eingaben!$C$42,0)+(Ansparphase!$AZ$57*(1-Eingaben!$C$42))*$CG$4))</f>
        <v>0</v>
      </c>
      <c r="AL26" s="40" t="n">
        <f aca="false">MAX(0,(AL25-AM25)*(1+Parameter!$C$62))</f>
        <v>0</v>
      </c>
      <c r="AM26" s="40" t="n">
        <f aca="false">IF(F26=0,0,MIN(AL26,Ansparphase!$BA$57*$CG$5))</f>
        <v>0</v>
      </c>
      <c r="AN26" s="40" t="n">
        <f aca="false">MAX(0,AM26*(1-IF(Ansparphase!$BA$57=0,1,MIN(1,Ansparphase!$BB$57/Ansparphase!$BA$57)))*(1-Parameter!$C$37))*Parameter!$C$36</f>
        <v>0</v>
      </c>
      <c r="AO26" s="40" t="n">
        <f aca="false">AI26+AK26*(1-IF(Ansparphase!$AZ$57=0,1,MIN(1,$CG$7/Ansparphase!$AZ$57)))*Parameter!$C$52</f>
        <v>0</v>
      </c>
      <c r="AP26" s="40" t="n">
        <f aca="false">MAX(0,G26+AO26)</f>
        <v>53632.7925166296</v>
      </c>
      <c r="AQ26" s="40" t="n">
        <f aca="false">MAX(0,(AP26+IF(Eingaben!$C$14=3,Eingaben!$C$15,0))/Parameter!$C$57/D26)</f>
        <v>22000</v>
      </c>
      <c r="AR26" s="40" t="n">
        <f aca="false">Parameter!$C$57*D26*(IF(AQ26&lt;=Parameter!$C$18,0,IF(AQ26&lt;=Parameter!$C$19,(Parameter!$C$22*(AQ26-Parameter!$C$18)/10000+Parameter!$C$23)*(AQ26-Parameter!$C$18)/10000,IF(AQ26&lt;=Parameter!$C$20,(Parameter!$C$24*(AQ26-Parameter!$C$19)/10000+Parameter!$C$25)*(AQ26-Parameter!$C$19)/10000+Parameter!$C$26,IF(AQ26&lt;=Parameter!$C$21,0.42*AQ26-Parameter!$C$27,0.45*AQ26-Parameter!$C$28)))))</f>
        <v>5052.20681743571</v>
      </c>
      <c r="AS26" s="40" t="n">
        <f aca="false">AR26+IF(AR26&lt;=(Parameter!$C$30*Parameter!$C$57*D26),0,MIN(Parameter!$C$29*AR26,Parameter!$C$31*(AR26-(Parameter!$C$30*Parameter!$C$57*D26))))+Eingaben!$C$16*AR26</f>
        <v>5052.20681743571</v>
      </c>
      <c r="AT26" s="40" t="n">
        <f aca="false">AI26+AK26-(AS26-J26)+AM26-AN26</f>
        <v>0</v>
      </c>
      <c r="AU26" s="40" t="n">
        <f aca="false">MAX(0,(AU25-AW25)*(1+Parameter!$C$62))</f>
        <v>0</v>
      </c>
      <c r="AV26" s="40" t="n">
        <f aca="false">MAX(0,AV25-AV25*IF(AU25=0,0,AW25/AU25))</f>
        <v>0</v>
      </c>
      <c r="AW26" s="40" t="n">
        <f aca="false">IF(F26=0,0,MIN(AU26,Ansparphase!$BE$57*$CG$5))</f>
        <v>0</v>
      </c>
      <c r="AX26" s="40" t="n">
        <f aca="false">AW26-IF(AU26=0,0,AV26*AW26/AU26)</f>
        <v>0</v>
      </c>
      <c r="AY26" s="40" t="n">
        <f aca="false">MAX(0,AX26*(1-Parameter!$C$37)-Parameter!$C$67)*Parameter!$C$36</f>
        <v>0</v>
      </c>
      <c r="AZ26" s="40" t="n">
        <f aca="false">AW26-AY26</f>
        <v>0</v>
      </c>
      <c r="BA26" s="38" t="n">
        <f aca="false">1/(1+Eingaben!$C$37)^C26</f>
        <v>0.410196802509931</v>
      </c>
      <c r="BB26" s="40" t="n">
        <f aca="false">IF(AND(Eingaben!$C$28=2,F26=0),(Ansparphase!$AW$57+Ansparphase!$AX$57)*Eingaben!$C$29/10000*12*(1+Eingaben!$C$30)^18,0)</f>
        <v>0</v>
      </c>
      <c r="BC26" s="38" t="n">
        <f aca="false">1/(1+Parameter!$C$68)^18</f>
        <v>0.378578000961009</v>
      </c>
    </row>
    <row r="27" customFormat="false" ht="15" hidden="false" customHeight="false" outlineLevel="0" collapsed="false">
      <c r="A27" s="32" t="n">
        <f aca="false">2026+C27</f>
        <v>2072</v>
      </c>
      <c r="B27" s="32" t="n">
        <f aca="false">Eingaben!$C$6+19</f>
        <v>86</v>
      </c>
      <c r="C27" s="32" t="n">
        <f aca="false">B27-Eingaben!$C$5</f>
        <v>46</v>
      </c>
      <c r="D27" s="41" t="n">
        <f aca="false">(1+Eingaben!$C$17)^C27</f>
        <v>2.48661128940737</v>
      </c>
      <c r="E27" s="41" t="n">
        <f aca="false">(1+Eingaben!$C$13)^C27</f>
        <v>3.11385086086228</v>
      </c>
      <c r="F27" s="32" t="n">
        <f aca="false">IF(B27&lt;=Eingaben!$C$7,1,0)</f>
        <v>0</v>
      </c>
      <c r="G27" s="43" t="n">
        <f aca="false">Eingaben!$C$40*(1+Eingaben!$C$37)^C27</f>
        <v>54705.4483669622</v>
      </c>
      <c r="H27" s="43" t="n">
        <f aca="false">MAX(0,(G27+IF(Eingaben!$C$14=3,Eingaben!$C$15,0))/Parameter!$C$57/D27)</f>
        <v>22000</v>
      </c>
      <c r="I27" s="43" t="n">
        <f aca="false">Parameter!$C$57*D27*(IF(H27&lt;=Parameter!$C$18,0,IF(H27&lt;=Parameter!$C$19,(Parameter!$C$22*(H27-Parameter!$C$18)/10000+Parameter!$C$23)*(H27-Parameter!$C$18)/10000,IF(H27&lt;=Parameter!$C$20,(Parameter!$C$24*(H27-Parameter!$C$19)/10000+Parameter!$C$25)*(H27-Parameter!$C$19)/10000+Parameter!$C$26,IF(H27&lt;=Parameter!$C$21,0.42*H27-Parameter!$C$27,0.45*H27-Parameter!$C$28)))))</f>
        <v>5153.25095378442</v>
      </c>
      <c r="J27" s="43" t="n">
        <f aca="false">I27+IF(I27&lt;=(Parameter!$C$30*Parameter!$C$57*D27),0,MIN(Parameter!$C$29*I27,Parameter!$C$31*(I27-(Parameter!$C$30*Parameter!$C$57*D27))))+Eingaben!$C$16*I27</f>
        <v>5153.25095378442</v>
      </c>
      <c r="K27" s="43" t="n">
        <f aca="false">IF(Eingaben!$C$28=1,IF(0=1,Ansparphase!$AW$57,0),(Ansparphase!$AW$57+Ansparphase!$AX$57)*Eingaben!$C$29/10000*12*(1+Eingaben!$C$30)^19*F27*IF((Ansparphase!$AW$57+Ansparphase!$AX$57)=0,0,Ansparphase!$AW$57/(Ansparphase!$AW$57+Ansparphase!$AX$57)))</f>
        <v>0</v>
      </c>
      <c r="L27" s="43" t="n">
        <f aca="false">IF(Eingaben!$C$28=1,IF(0=1,Ansparphase!$AX$57,0),(Ansparphase!$AW$57+Ansparphase!$AX$57)*Eingaben!$C$29/10000*12*(1+Eingaben!$C$30)^19*F27*IF((Ansparphase!$AW$57+Ansparphase!$AX$57)=0,0,Ansparphase!$AX$57/(Ansparphase!$AW$57+Ansparphase!$AX$57)))</f>
        <v>0</v>
      </c>
      <c r="M27" s="43" t="n">
        <f aca="false">K27+L27</f>
        <v>0</v>
      </c>
      <c r="N27" s="43" t="n">
        <f aca="false">K27+L27*IF(Eingaben!$C$28=1,(1-IF(Ansparphase!$AX$57=0,1,MIN(1,$CG$8/Ansparphase!$AX$57)))*Parameter!$C$52,Parameter!$C$51)</f>
        <v>0</v>
      </c>
      <c r="O27" s="43" t="n">
        <f aca="false">IF(Eingaben!$C$28=1,IF(19&lt;10,(Ansparphase!$AW$57+Ansparphase!$AX$57)/120,0),M27/12)</f>
        <v>0</v>
      </c>
      <c r="P27" s="43" t="n">
        <f aca="false">Eingaben!$C$41/12*(1+Eingaben!$C$13)^C27</f>
        <v>6227.70172172456</v>
      </c>
      <c r="Q27" s="43" t="n">
        <f aca="false">MAX(0,MIN(O27,Parameter!$C$5/12*E27-P27))</f>
        <v>0</v>
      </c>
      <c r="R27" s="43" t="n">
        <f aca="false">IF(Eingaben!$C$39=2,0,MAX(0,Q27-Parameter!$C$7*E27)*Parameter!$C$54*12)</f>
        <v>0</v>
      </c>
      <c r="S27" s="43" t="n">
        <f aca="false">IF(Eingaben!$C$39=2,0,IF(O27&gt;Parameter!$C$7*E27,Q27*Parameter!$C$59*12,0))</f>
        <v>0</v>
      </c>
      <c r="T27" s="43" t="n">
        <f aca="false">R27+S27</f>
        <v>0</v>
      </c>
      <c r="U27" s="43" t="n">
        <f aca="false">Ansparphase!$BJ$57*Parameter!$C$9*12*(1+Eingaben!$C$13)^(Eingaben!$C$6-Eingaben!$C$5)*(1+Eingaben!$C$13)^19*F27</f>
        <v>0</v>
      </c>
      <c r="V27" s="43" t="n">
        <f aca="false">U27*Parameter!$C$66</f>
        <v>0</v>
      </c>
      <c r="W27" s="43" t="n">
        <f aca="false">IF(Eingaben!$C$39=2,0,U27*(Parameter!$C$53+Parameter!$C$59))</f>
        <v>0</v>
      </c>
      <c r="X27" s="43" t="n">
        <f aca="false">MAX(0,G27-V27+N27-T27+W27)</f>
        <v>54705.4483669622</v>
      </c>
      <c r="Y27" s="43" t="n">
        <f aca="false">MAX(0,(X27+IF(Eingaben!$C$14=3,Eingaben!$C$15,0))/Parameter!$C$57/D27)</f>
        <v>22000</v>
      </c>
      <c r="Z27" s="43" t="n">
        <f aca="false">Parameter!$C$57*D27*(IF(Y27&lt;=Parameter!$C$18,0,IF(Y27&lt;=Parameter!$C$19,(Parameter!$C$22*(Y27-Parameter!$C$18)/10000+Parameter!$C$23)*(Y27-Parameter!$C$18)/10000,IF(Y27&lt;=Parameter!$C$20,(Parameter!$C$24*(Y27-Parameter!$C$19)/10000+Parameter!$C$25)*(Y27-Parameter!$C$19)/10000+Parameter!$C$26,IF(Y27&lt;=Parameter!$C$21,0.42*Y27-Parameter!$C$27,0.45*Y27-Parameter!$C$28)))))</f>
        <v>5153.25095378442</v>
      </c>
      <c r="AA27" s="43" t="n">
        <f aca="false">Z27+IF(Z27&lt;=(Parameter!$C$30*Parameter!$C$57*D27),0,MIN(Parameter!$C$29*Z27,Parameter!$C$31*(Z27-(Parameter!$C$30*Parameter!$C$57*D27))))+Eingaben!$C$16*Z27</f>
        <v>5153.25095378442</v>
      </c>
      <c r="AB27" s="43" t="n">
        <f aca="false">MAX(0,G27-V27+N27/5-T27+W27)</f>
        <v>54705.4483669622</v>
      </c>
      <c r="AC27" s="43" t="n">
        <f aca="false">MAX(0,(AB27+IF(Eingaben!$C$14=3,Eingaben!$C$15,0))/Parameter!$C$57/D27)</f>
        <v>22000</v>
      </c>
      <c r="AD27" s="43" t="n">
        <f aca="false">Parameter!$C$57*D27*(IF(AC27&lt;=Parameter!$C$18,0,IF(AC27&lt;=Parameter!$C$19,(Parameter!$C$22*(AC27-Parameter!$C$18)/10000+Parameter!$C$23)*(AC27-Parameter!$C$18)/10000,IF(AC27&lt;=Parameter!$C$20,(Parameter!$C$24*(AC27-Parameter!$C$19)/10000+Parameter!$C$25)*(AC27-Parameter!$C$19)/10000+Parameter!$C$26,IF(AC27&lt;=Parameter!$C$21,0.42*AC27-Parameter!$C$27,0.45*AC27-Parameter!$C$28)))))</f>
        <v>5153.25095378442</v>
      </c>
      <c r="AE27" s="43" t="n">
        <f aca="false">AD27+IF(AD27&lt;=(Parameter!$C$30*Parameter!$C$57*D27),0,MIN(Parameter!$C$29*AD27,Parameter!$C$31*(AD27-(Parameter!$C$30*Parameter!$C$57*D27))))+Eingaben!$C$16*AD27</f>
        <v>5153.25095378442</v>
      </c>
      <c r="AF27" s="43" t="n">
        <f aca="false">IF(AND(Eingaben!$C$31=1,Eingaben!$C$28=1,M27&gt;0),MIN(AA27-J27,5*(AE27-J27)),AA27-J27)</f>
        <v>0</v>
      </c>
      <c r="AG27" s="43" t="n">
        <f aca="false">M27-T27-AF27-U27+W27</f>
        <v>0</v>
      </c>
      <c r="AH27" s="43" t="n">
        <f aca="false">MAX(0,(AH26-AI26)*(1+Parameter!$C$61))</f>
        <v>0</v>
      </c>
      <c r="AI27" s="43" t="n">
        <f aca="false">IF(F27=0,0,MIN(AH27,Ansparphase!$AY$57*IF(19=0,Eingaben!$C$42,0)+(Ansparphase!$AY$57*(1-Eingaben!$C$42))*$CG$4))</f>
        <v>0</v>
      </c>
      <c r="AJ27" s="43" t="n">
        <f aca="false">MAX(0,(AJ26-AK26)*(1+Parameter!$C$61))</f>
        <v>0</v>
      </c>
      <c r="AK27" s="43" t="n">
        <f aca="false">IF(F27=0,0,MIN(AJ27,Ansparphase!$AZ$57*IF(19=0,Eingaben!$C$42,0)+(Ansparphase!$AZ$57*(1-Eingaben!$C$42))*$CG$4))</f>
        <v>0</v>
      </c>
      <c r="AL27" s="43" t="n">
        <f aca="false">MAX(0,(AL26-AM26)*(1+Parameter!$C$62))</f>
        <v>0</v>
      </c>
      <c r="AM27" s="43" t="n">
        <f aca="false">IF(F27=0,0,MIN(AL27,Ansparphase!$BA$57*$CG$5))</f>
        <v>0</v>
      </c>
      <c r="AN27" s="43" t="n">
        <f aca="false">MAX(0,AM27*(1-IF(Ansparphase!$BA$57=0,1,MIN(1,Ansparphase!$BB$57/Ansparphase!$BA$57)))*(1-Parameter!$C$37))*Parameter!$C$36</f>
        <v>0</v>
      </c>
      <c r="AO27" s="43" t="n">
        <f aca="false">AI27+AK27*(1-IF(Ansparphase!$AZ$57=0,1,MIN(1,$CG$7/Ansparphase!$AZ$57)))*Parameter!$C$52</f>
        <v>0</v>
      </c>
      <c r="AP27" s="43" t="n">
        <f aca="false">MAX(0,G27+AO27)</f>
        <v>54705.4483669622</v>
      </c>
      <c r="AQ27" s="43" t="n">
        <f aca="false">MAX(0,(AP27+IF(Eingaben!$C$14=3,Eingaben!$C$15,0))/Parameter!$C$57/D27)</f>
        <v>22000</v>
      </c>
      <c r="AR27" s="43" t="n">
        <f aca="false">Parameter!$C$57*D27*(IF(AQ27&lt;=Parameter!$C$18,0,IF(AQ27&lt;=Parameter!$C$19,(Parameter!$C$22*(AQ27-Parameter!$C$18)/10000+Parameter!$C$23)*(AQ27-Parameter!$C$18)/10000,IF(AQ27&lt;=Parameter!$C$20,(Parameter!$C$24*(AQ27-Parameter!$C$19)/10000+Parameter!$C$25)*(AQ27-Parameter!$C$19)/10000+Parameter!$C$26,IF(AQ27&lt;=Parameter!$C$21,0.42*AQ27-Parameter!$C$27,0.45*AQ27-Parameter!$C$28)))))</f>
        <v>5153.25095378442</v>
      </c>
      <c r="AS27" s="43" t="n">
        <f aca="false">AR27+IF(AR27&lt;=(Parameter!$C$30*Parameter!$C$57*D27),0,MIN(Parameter!$C$29*AR27,Parameter!$C$31*(AR27-(Parameter!$C$30*Parameter!$C$57*D27))))+Eingaben!$C$16*AR27</f>
        <v>5153.25095378442</v>
      </c>
      <c r="AT27" s="43" t="n">
        <f aca="false">AI27+AK27-(AS27-J27)+AM27-AN27</f>
        <v>0</v>
      </c>
      <c r="AU27" s="43" t="n">
        <f aca="false">MAX(0,(AU26-AW26)*(1+Parameter!$C$62))</f>
        <v>0</v>
      </c>
      <c r="AV27" s="43" t="n">
        <f aca="false">MAX(0,AV26-AV26*IF(AU26=0,0,AW26/AU26))</f>
        <v>0</v>
      </c>
      <c r="AW27" s="43" t="n">
        <f aca="false">IF(F27=0,0,MIN(AU27,Ansparphase!$BE$57*$CG$5))</f>
        <v>0</v>
      </c>
      <c r="AX27" s="43" t="n">
        <f aca="false">AW27-IF(AU27=0,0,AV27*AW27/AU27)</f>
        <v>0</v>
      </c>
      <c r="AY27" s="43" t="n">
        <f aca="false">MAX(0,AX27*(1-Parameter!$C$37)-Parameter!$C$67)*Parameter!$C$36</f>
        <v>0</v>
      </c>
      <c r="AZ27" s="43" t="n">
        <f aca="false">AW27-AY27</f>
        <v>0</v>
      </c>
      <c r="BA27" s="41" t="n">
        <f aca="false">1/(1+Eingaben!$C$37)^C27</f>
        <v>0.402153727950912</v>
      </c>
      <c r="BB27" s="43" t="n">
        <f aca="false">IF(AND(Eingaben!$C$28=2,F27=0),(Ansparphase!$AW$57+Ansparphase!$AX$57)*Eingaben!$C$29/10000*12*(1+Eingaben!$C$30)^19,0)</f>
        <v>0</v>
      </c>
      <c r="BC27" s="41" t="n">
        <f aca="false">1/(1+Parameter!$C$68)^19</f>
        <v>0.358690241192945</v>
      </c>
    </row>
    <row r="28" customFormat="false" ht="15" hidden="false" customHeight="false" outlineLevel="0" collapsed="false">
      <c r="A28" s="30" t="n">
        <f aca="false">2026+C28</f>
        <v>2073</v>
      </c>
      <c r="B28" s="30" t="n">
        <f aca="false">Eingaben!$C$6+20</f>
        <v>87</v>
      </c>
      <c r="C28" s="30" t="n">
        <f aca="false">B28-Eingaben!$C$5</f>
        <v>47</v>
      </c>
      <c r="D28" s="38" t="n">
        <f aca="false">(1+Eingaben!$C$17)^C28</f>
        <v>2.53634351519552</v>
      </c>
      <c r="E28" s="38" t="n">
        <f aca="false">(1+Eingaben!$C$13)^C28</f>
        <v>3.19169713238384</v>
      </c>
      <c r="F28" s="30" t="n">
        <f aca="false">IF(B28&lt;=Eingaben!$C$7,1,0)</f>
        <v>0</v>
      </c>
      <c r="G28" s="40" t="n">
        <f aca="false">Eingaben!$C$40*(1+Eingaben!$C$37)^C28</f>
        <v>55799.5573343014</v>
      </c>
      <c r="H28" s="40" t="n">
        <f aca="false">MAX(0,(G28+IF(Eingaben!$C$14=3,Eingaben!$C$15,0))/Parameter!$C$57/D28)</f>
        <v>22000</v>
      </c>
      <c r="I28" s="40" t="n">
        <f aca="false">Parameter!$C$57*D28*(IF(H28&lt;=Parameter!$C$18,0,IF(H28&lt;=Parameter!$C$19,(Parameter!$C$22*(H28-Parameter!$C$18)/10000+Parameter!$C$23)*(H28-Parameter!$C$18)/10000,IF(H28&lt;=Parameter!$C$20,(Parameter!$C$24*(H28-Parameter!$C$19)/10000+Parameter!$C$25)*(H28-Parameter!$C$19)/10000+Parameter!$C$26,IF(H28&lt;=Parameter!$C$21,0.42*H28-Parameter!$C$27,0.45*H28-Parameter!$C$28)))))</f>
        <v>5256.31597286011</v>
      </c>
      <c r="J28" s="40" t="n">
        <f aca="false">I28+IF(I28&lt;=(Parameter!$C$30*Parameter!$C$57*D28),0,MIN(Parameter!$C$29*I28,Parameter!$C$31*(I28-(Parameter!$C$30*Parameter!$C$57*D28))))+Eingaben!$C$16*I28</f>
        <v>5256.31597286011</v>
      </c>
      <c r="K28" s="40" t="n">
        <f aca="false">IF(Eingaben!$C$28=1,IF(0=1,Ansparphase!$AW$57,0),(Ansparphase!$AW$57+Ansparphase!$AX$57)*Eingaben!$C$29/10000*12*(1+Eingaben!$C$30)^20*F28*IF((Ansparphase!$AW$57+Ansparphase!$AX$57)=0,0,Ansparphase!$AW$57/(Ansparphase!$AW$57+Ansparphase!$AX$57)))</f>
        <v>0</v>
      </c>
      <c r="L28" s="40" t="n">
        <f aca="false">IF(Eingaben!$C$28=1,IF(0=1,Ansparphase!$AX$57,0),(Ansparphase!$AW$57+Ansparphase!$AX$57)*Eingaben!$C$29/10000*12*(1+Eingaben!$C$30)^20*F28*IF((Ansparphase!$AW$57+Ansparphase!$AX$57)=0,0,Ansparphase!$AX$57/(Ansparphase!$AW$57+Ansparphase!$AX$57)))</f>
        <v>0</v>
      </c>
      <c r="M28" s="40" t="n">
        <f aca="false">K28+L28</f>
        <v>0</v>
      </c>
      <c r="N28" s="40" t="n">
        <f aca="false">K28+L28*IF(Eingaben!$C$28=1,(1-IF(Ansparphase!$AX$57=0,1,MIN(1,$CG$8/Ansparphase!$AX$57)))*Parameter!$C$52,Parameter!$C$51)</f>
        <v>0</v>
      </c>
      <c r="O28" s="40" t="n">
        <f aca="false">IF(Eingaben!$C$28=1,IF(20&lt;10,(Ansparphase!$AW$57+Ansparphase!$AX$57)/120,0),M28/12)</f>
        <v>0</v>
      </c>
      <c r="P28" s="40" t="n">
        <f aca="false">Eingaben!$C$41/12*(1+Eingaben!$C$13)^C28</f>
        <v>6383.39426476767</v>
      </c>
      <c r="Q28" s="40" t="n">
        <f aca="false">MAX(0,MIN(O28,Parameter!$C$5/12*E28-P28))</f>
        <v>0</v>
      </c>
      <c r="R28" s="40" t="n">
        <f aca="false">IF(Eingaben!$C$39=2,0,MAX(0,Q28-Parameter!$C$7*E28)*Parameter!$C$54*12)</f>
        <v>0</v>
      </c>
      <c r="S28" s="40" t="n">
        <f aca="false">IF(Eingaben!$C$39=2,0,IF(O28&gt;Parameter!$C$7*E28,Q28*Parameter!$C$59*12,0))</f>
        <v>0</v>
      </c>
      <c r="T28" s="40" t="n">
        <f aca="false">R28+S28</f>
        <v>0</v>
      </c>
      <c r="U28" s="40" t="n">
        <f aca="false">Ansparphase!$BJ$57*Parameter!$C$9*12*(1+Eingaben!$C$13)^(Eingaben!$C$6-Eingaben!$C$5)*(1+Eingaben!$C$13)^20*F28</f>
        <v>0</v>
      </c>
      <c r="V28" s="40" t="n">
        <f aca="false">U28*Parameter!$C$66</f>
        <v>0</v>
      </c>
      <c r="W28" s="40" t="n">
        <f aca="false">IF(Eingaben!$C$39=2,0,U28*(Parameter!$C$53+Parameter!$C$59))</f>
        <v>0</v>
      </c>
      <c r="X28" s="40" t="n">
        <f aca="false">MAX(0,G28-V28+N28-T28+W28)</f>
        <v>55799.5573343014</v>
      </c>
      <c r="Y28" s="40" t="n">
        <f aca="false">MAX(0,(X28+IF(Eingaben!$C$14=3,Eingaben!$C$15,0))/Parameter!$C$57/D28)</f>
        <v>22000</v>
      </c>
      <c r="Z28" s="40" t="n">
        <f aca="false">Parameter!$C$57*D28*(IF(Y28&lt;=Parameter!$C$18,0,IF(Y28&lt;=Parameter!$C$19,(Parameter!$C$22*(Y28-Parameter!$C$18)/10000+Parameter!$C$23)*(Y28-Parameter!$C$18)/10000,IF(Y28&lt;=Parameter!$C$20,(Parameter!$C$24*(Y28-Parameter!$C$19)/10000+Parameter!$C$25)*(Y28-Parameter!$C$19)/10000+Parameter!$C$26,IF(Y28&lt;=Parameter!$C$21,0.42*Y28-Parameter!$C$27,0.45*Y28-Parameter!$C$28)))))</f>
        <v>5256.31597286011</v>
      </c>
      <c r="AA28" s="40" t="n">
        <f aca="false">Z28+IF(Z28&lt;=(Parameter!$C$30*Parameter!$C$57*D28),0,MIN(Parameter!$C$29*Z28,Parameter!$C$31*(Z28-(Parameter!$C$30*Parameter!$C$57*D28))))+Eingaben!$C$16*Z28</f>
        <v>5256.31597286011</v>
      </c>
      <c r="AB28" s="40" t="n">
        <f aca="false">MAX(0,G28-V28+N28/5-T28+W28)</f>
        <v>55799.5573343014</v>
      </c>
      <c r="AC28" s="40" t="n">
        <f aca="false">MAX(0,(AB28+IF(Eingaben!$C$14=3,Eingaben!$C$15,0))/Parameter!$C$57/D28)</f>
        <v>22000</v>
      </c>
      <c r="AD28" s="40" t="n">
        <f aca="false">Parameter!$C$57*D28*(IF(AC28&lt;=Parameter!$C$18,0,IF(AC28&lt;=Parameter!$C$19,(Parameter!$C$22*(AC28-Parameter!$C$18)/10000+Parameter!$C$23)*(AC28-Parameter!$C$18)/10000,IF(AC28&lt;=Parameter!$C$20,(Parameter!$C$24*(AC28-Parameter!$C$19)/10000+Parameter!$C$25)*(AC28-Parameter!$C$19)/10000+Parameter!$C$26,IF(AC28&lt;=Parameter!$C$21,0.42*AC28-Parameter!$C$27,0.45*AC28-Parameter!$C$28)))))</f>
        <v>5256.31597286011</v>
      </c>
      <c r="AE28" s="40" t="n">
        <f aca="false">AD28+IF(AD28&lt;=(Parameter!$C$30*Parameter!$C$57*D28),0,MIN(Parameter!$C$29*AD28,Parameter!$C$31*(AD28-(Parameter!$C$30*Parameter!$C$57*D28))))+Eingaben!$C$16*AD28</f>
        <v>5256.31597286011</v>
      </c>
      <c r="AF28" s="40" t="n">
        <f aca="false">IF(AND(Eingaben!$C$31=1,Eingaben!$C$28=1,M28&gt;0),MIN(AA28-J28,5*(AE28-J28)),AA28-J28)</f>
        <v>0</v>
      </c>
      <c r="AG28" s="40" t="n">
        <f aca="false">M28-T28-AF28-U28+W28</f>
        <v>0</v>
      </c>
      <c r="AH28" s="40" t="n">
        <f aca="false">MAX(0,(AH27-AI27)*(1+Parameter!$C$61))</f>
        <v>0</v>
      </c>
      <c r="AI28" s="40" t="n">
        <f aca="false">IF(F28=0,0,MIN(AH28,Ansparphase!$AY$57*IF(20=0,Eingaben!$C$42,0)+(Ansparphase!$AY$57*(1-Eingaben!$C$42))*$CG$4))</f>
        <v>0</v>
      </c>
      <c r="AJ28" s="40" t="n">
        <f aca="false">MAX(0,(AJ27-AK27)*(1+Parameter!$C$61))</f>
        <v>0</v>
      </c>
      <c r="AK28" s="40" t="n">
        <f aca="false">IF(F28=0,0,MIN(AJ28,Ansparphase!$AZ$57*IF(20=0,Eingaben!$C$42,0)+(Ansparphase!$AZ$57*(1-Eingaben!$C$42))*$CG$4))</f>
        <v>0</v>
      </c>
      <c r="AL28" s="40" t="n">
        <f aca="false">MAX(0,(AL27-AM27)*(1+Parameter!$C$62))</f>
        <v>0</v>
      </c>
      <c r="AM28" s="40" t="n">
        <f aca="false">IF(F28=0,0,MIN(AL28,Ansparphase!$BA$57*$CG$5))</f>
        <v>0</v>
      </c>
      <c r="AN28" s="40" t="n">
        <f aca="false">MAX(0,AM28*(1-IF(Ansparphase!$BA$57=0,1,MIN(1,Ansparphase!$BB$57/Ansparphase!$BA$57)))*(1-Parameter!$C$37))*Parameter!$C$36</f>
        <v>0</v>
      </c>
      <c r="AO28" s="40" t="n">
        <f aca="false">AI28+AK28*(1-IF(Ansparphase!$AZ$57=0,1,MIN(1,$CG$7/Ansparphase!$AZ$57)))*Parameter!$C$52</f>
        <v>0</v>
      </c>
      <c r="AP28" s="40" t="n">
        <f aca="false">MAX(0,G28+AO28)</f>
        <v>55799.5573343014</v>
      </c>
      <c r="AQ28" s="40" t="n">
        <f aca="false">MAX(0,(AP28+IF(Eingaben!$C$14=3,Eingaben!$C$15,0))/Parameter!$C$57/D28)</f>
        <v>22000</v>
      </c>
      <c r="AR28" s="40" t="n">
        <f aca="false">Parameter!$C$57*D28*(IF(AQ28&lt;=Parameter!$C$18,0,IF(AQ28&lt;=Parameter!$C$19,(Parameter!$C$22*(AQ28-Parameter!$C$18)/10000+Parameter!$C$23)*(AQ28-Parameter!$C$18)/10000,IF(AQ28&lt;=Parameter!$C$20,(Parameter!$C$24*(AQ28-Parameter!$C$19)/10000+Parameter!$C$25)*(AQ28-Parameter!$C$19)/10000+Parameter!$C$26,IF(AQ28&lt;=Parameter!$C$21,0.42*AQ28-Parameter!$C$27,0.45*AQ28-Parameter!$C$28)))))</f>
        <v>5256.31597286011</v>
      </c>
      <c r="AS28" s="40" t="n">
        <f aca="false">AR28+IF(AR28&lt;=(Parameter!$C$30*Parameter!$C$57*D28),0,MIN(Parameter!$C$29*AR28,Parameter!$C$31*(AR28-(Parameter!$C$30*Parameter!$C$57*D28))))+Eingaben!$C$16*AR28</f>
        <v>5256.31597286011</v>
      </c>
      <c r="AT28" s="40" t="n">
        <f aca="false">AI28+AK28-(AS28-J28)+AM28-AN28</f>
        <v>0</v>
      </c>
      <c r="AU28" s="40" t="n">
        <f aca="false">MAX(0,(AU27-AW27)*(1+Parameter!$C$62))</f>
        <v>0</v>
      </c>
      <c r="AV28" s="40" t="n">
        <f aca="false">MAX(0,AV27-AV27*IF(AU27=0,0,AW27/AU27))</f>
        <v>0</v>
      </c>
      <c r="AW28" s="40" t="n">
        <f aca="false">IF(F28=0,0,MIN(AU28,Ansparphase!$BE$57*$CG$5))</f>
        <v>0</v>
      </c>
      <c r="AX28" s="40" t="n">
        <f aca="false">AW28-IF(AU28=0,0,AV28*AW28/AU28)</f>
        <v>0</v>
      </c>
      <c r="AY28" s="40" t="n">
        <f aca="false">MAX(0,AX28*(1-Parameter!$C$37)-Parameter!$C$67)*Parameter!$C$36</f>
        <v>0</v>
      </c>
      <c r="AZ28" s="40" t="n">
        <f aca="false">AW28-AY28</f>
        <v>0</v>
      </c>
      <c r="BA28" s="38" t="n">
        <f aca="false">1/(1+Eingaben!$C$37)^C28</f>
        <v>0.394268360736189</v>
      </c>
      <c r="BB28" s="40" t="n">
        <f aca="false">IF(AND(Eingaben!$C$28=2,F28=0),(Ansparphase!$AW$57+Ansparphase!$AX$57)*Eingaben!$C$29/10000*12*(1+Eingaben!$C$30)^20,0)</f>
        <v>0</v>
      </c>
      <c r="BC28" s="38" t="n">
        <f aca="false">1/(1+Parameter!$C$68)^20</f>
        <v>0.339847240992496</v>
      </c>
    </row>
    <row r="29" customFormat="false" ht="15" hidden="false" customHeight="false" outlineLevel="0" collapsed="false">
      <c r="A29" s="32" t="n">
        <f aca="false">2026+C29</f>
        <v>2074</v>
      </c>
      <c r="B29" s="32" t="n">
        <f aca="false">Eingaben!$C$6+21</f>
        <v>88</v>
      </c>
      <c r="C29" s="32" t="n">
        <f aca="false">B29-Eingaben!$C$5</f>
        <v>48</v>
      </c>
      <c r="D29" s="41" t="n">
        <f aca="false">(1+Eingaben!$C$17)^C29</f>
        <v>2.58707038549943</v>
      </c>
      <c r="E29" s="41" t="n">
        <f aca="false">(1+Eingaben!$C$13)^C29</f>
        <v>3.27148956069343</v>
      </c>
      <c r="F29" s="32" t="n">
        <f aca="false">IF(B29&lt;=Eingaben!$C$7,1,0)</f>
        <v>0</v>
      </c>
      <c r="G29" s="43" t="n">
        <f aca="false">Eingaben!$C$40*(1+Eingaben!$C$37)^C29</f>
        <v>56915.5484809875</v>
      </c>
      <c r="H29" s="43" t="n">
        <f aca="false">MAX(0,(G29+IF(Eingaben!$C$14=3,Eingaben!$C$15,0))/Parameter!$C$57/D29)</f>
        <v>22000</v>
      </c>
      <c r="I29" s="43" t="n">
        <f aca="false">Parameter!$C$57*D29*(IF(H29&lt;=Parameter!$C$18,0,IF(H29&lt;=Parameter!$C$19,(Parameter!$C$22*(H29-Parameter!$C$18)/10000+Parameter!$C$23)*(H29-Parameter!$C$18)/10000,IF(H29&lt;=Parameter!$C$20,(Parameter!$C$24*(H29-Parameter!$C$19)/10000+Parameter!$C$25)*(H29-Parameter!$C$19)/10000+Parameter!$C$26,IF(H29&lt;=Parameter!$C$21,0.42*H29-Parameter!$C$27,0.45*H29-Parameter!$C$28)))))</f>
        <v>5361.44229231731</v>
      </c>
      <c r="J29" s="43" t="n">
        <f aca="false">I29+IF(I29&lt;=(Parameter!$C$30*Parameter!$C$57*D29),0,MIN(Parameter!$C$29*I29,Parameter!$C$31*(I29-(Parameter!$C$30*Parameter!$C$57*D29))))+Eingaben!$C$16*I29</f>
        <v>5361.44229231731</v>
      </c>
      <c r="K29" s="43" t="n">
        <f aca="false">IF(Eingaben!$C$28=1,IF(0=1,Ansparphase!$AW$57,0),(Ansparphase!$AW$57+Ansparphase!$AX$57)*Eingaben!$C$29/10000*12*(1+Eingaben!$C$30)^21*F29*IF((Ansparphase!$AW$57+Ansparphase!$AX$57)=0,0,Ansparphase!$AW$57/(Ansparphase!$AW$57+Ansparphase!$AX$57)))</f>
        <v>0</v>
      </c>
      <c r="L29" s="43" t="n">
        <f aca="false">IF(Eingaben!$C$28=1,IF(0=1,Ansparphase!$AX$57,0),(Ansparphase!$AW$57+Ansparphase!$AX$57)*Eingaben!$C$29/10000*12*(1+Eingaben!$C$30)^21*F29*IF((Ansparphase!$AW$57+Ansparphase!$AX$57)=0,0,Ansparphase!$AX$57/(Ansparphase!$AW$57+Ansparphase!$AX$57)))</f>
        <v>0</v>
      </c>
      <c r="M29" s="43" t="n">
        <f aca="false">K29+L29</f>
        <v>0</v>
      </c>
      <c r="N29" s="43" t="n">
        <f aca="false">K29+L29*IF(Eingaben!$C$28=1,(1-IF(Ansparphase!$AX$57=0,1,MIN(1,$CG$8/Ansparphase!$AX$57)))*Parameter!$C$52,Parameter!$C$51)</f>
        <v>0</v>
      </c>
      <c r="O29" s="43" t="n">
        <f aca="false">IF(Eingaben!$C$28=1,IF(21&lt;10,(Ansparphase!$AW$57+Ansparphase!$AX$57)/120,0),M29/12)</f>
        <v>0</v>
      </c>
      <c r="P29" s="43" t="n">
        <f aca="false">Eingaben!$C$41/12*(1+Eingaben!$C$13)^C29</f>
        <v>6542.97912138686</v>
      </c>
      <c r="Q29" s="43" t="n">
        <f aca="false">MAX(0,MIN(O29,Parameter!$C$5/12*E29-P29))</f>
        <v>0</v>
      </c>
      <c r="R29" s="43" t="n">
        <f aca="false">IF(Eingaben!$C$39=2,0,MAX(0,Q29-Parameter!$C$7*E29)*Parameter!$C$54*12)</f>
        <v>0</v>
      </c>
      <c r="S29" s="43" t="n">
        <f aca="false">IF(Eingaben!$C$39=2,0,IF(O29&gt;Parameter!$C$7*E29,Q29*Parameter!$C$59*12,0))</f>
        <v>0</v>
      </c>
      <c r="T29" s="43" t="n">
        <f aca="false">R29+S29</f>
        <v>0</v>
      </c>
      <c r="U29" s="43" t="n">
        <f aca="false">Ansparphase!$BJ$57*Parameter!$C$9*12*(1+Eingaben!$C$13)^(Eingaben!$C$6-Eingaben!$C$5)*(1+Eingaben!$C$13)^21*F29</f>
        <v>0</v>
      </c>
      <c r="V29" s="43" t="n">
        <f aca="false">U29*Parameter!$C$66</f>
        <v>0</v>
      </c>
      <c r="W29" s="43" t="n">
        <f aca="false">IF(Eingaben!$C$39=2,0,U29*(Parameter!$C$53+Parameter!$C$59))</f>
        <v>0</v>
      </c>
      <c r="X29" s="43" t="n">
        <f aca="false">MAX(0,G29-V29+N29-T29+W29)</f>
        <v>56915.5484809875</v>
      </c>
      <c r="Y29" s="43" t="n">
        <f aca="false">MAX(0,(X29+IF(Eingaben!$C$14=3,Eingaben!$C$15,0))/Parameter!$C$57/D29)</f>
        <v>22000</v>
      </c>
      <c r="Z29" s="43" t="n">
        <f aca="false">Parameter!$C$57*D29*(IF(Y29&lt;=Parameter!$C$18,0,IF(Y29&lt;=Parameter!$C$19,(Parameter!$C$22*(Y29-Parameter!$C$18)/10000+Parameter!$C$23)*(Y29-Parameter!$C$18)/10000,IF(Y29&lt;=Parameter!$C$20,(Parameter!$C$24*(Y29-Parameter!$C$19)/10000+Parameter!$C$25)*(Y29-Parameter!$C$19)/10000+Parameter!$C$26,IF(Y29&lt;=Parameter!$C$21,0.42*Y29-Parameter!$C$27,0.45*Y29-Parameter!$C$28)))))</f>
        <v>5361.44229231731</v>
      </c>
      <c r="AA29" s="43" t="n">
        <f aca="false">Z29+IF(Z29&lt;=(Parameter!$C$30*Parameter!$C$57*D29),0,MIN(Parameter!$C$29*Z29,Parameter!$C$31*(Z29-(Parameter!$C$30*Parameter!$C$57*D29))))+Eingaben!$C$16*Z29</f>
        <v>5361.44229231731</v>
      </c>
      <c r="AB29" s="43" t="n">
        <f aca="false">MAX(0,G29-V29+N29/5-T29+W29)</f>
        <v>56915.5484809875</v>
      </c>
      <c r="AC29" s="43" t="n">
        <f aca="false">MAX(0,(AB29+IF(Eingaben!$C$14=3,Eingaben!$C$15,0))/Parameter!$C$57/D29)</f>
        <v>22000</v>
      </c>
      <c r="AD29" s="43" t="n">
        <f aca="false">Parameter!$C$57*D29*(IF(AC29&lt;=Parameter!$C$18,0,IF(AC29&lt;=Parameter!$C$19,(Parameter!$C$22*(AC29-Parameter!$C$18)/10000+Parameter!$C$23)*(AC29-Parameter!$C$18)/10000,IF(AC29&lt;=Parameter!$C$20,(Parameter!$C$24*(AC29-Parameter!$C$19)/10000+Parameter!$C$25)*(AC29-Parameter!$C$19)/10000+Parameter!$C$26,IF(AC29&lt;=Parameter!$C$21,0.42*AC29-Parameter!$C$27,0.45*AC29-Parameter!$C$28)))))</f>
        <v>5361.44229231731</v>
      </c>
      <c r="AE29" s="43" t="n">
        <f aca="false">AD29+IF(AD29&lt;=(Parameter!$C$30*Parameter!$C$57*D29),0,MIN(Parameter!$C$29*AD29,Parameter!$C$31*(AD29-(Parameter!$C$30*Parameter!$C$57*D29))))+Eingaben!$C$16*AD29</f>
        <v>5361.44229231731</v>
      </c>
      <c r="AF29" s="43" t="n">
        <f aca="false">IF(AND(Eingaben!$C$31=1,Eingaben!$C$28=1,M29&gt;0),MIN(AA29-J29,5*(AE29-J29)),AA29-J29)</f>
        <v>0</v>
      </c>
      <c r="AG29" s="43" t="n">
        <f aca="false">M29-T29-AF29-U29+W29</f>
        <v>0</v>
      </c>
      <c r="AH29" s="43" t="n">
        <f aca="false">MAX(0,(AH28-AI28)*(1+Parameter!$C$61))</f>
        <v>0</v>
      </c>
      <c r="AI29" s="43" t="n">
        <f aca="false">IF(F29=0,0,MIN(AH29,Ansparphase!$AY$57*IF(21=0,Eingaben!$C$42,0)+(Ansparphase!$AY$57*(1-Eingaben!$C$42))*$CG$4))</f>
        <v>0</v>
      </c>
      <c r="AJ29" s="43" t="n">
        <f aca="false">MAX(0,(AJ28-AK28)*(1+Parameter!$C$61))</f>
        <v>0</v>
      </c>
      <c r="AK29" s="43" t="n">
        <f aca="false">IF(F29=0,0,MIN(AJ29,Ansparphase!$AZ$57*IF(21=0,Eingaben!$C$42,0)+(Ansparphase!$AZ$57*(1-Eingaben!$C$42))*$CG$4))</f>
        <v>0</v>
      </c>
      <c r="AL29" s="43" t="n">
        <f aca="false">MAX(0,(AL28-AM28)*(1+Parameter!$C$62))</f>
        <v>0</v>
      </c>
      <c r="AM29" s="43" t="n">
        <f aca="false">IF(F29=0,0,MIN(AL29,Ansparphase!$BA$57*$CG$5))</f>
        <v>0</v>
      </c>
      <c r="AN29" s="43" t="n">
        <f aca="false">MAX(0,AM29*(1-IF(Ansparphase!$BA$57=0,1,MIN(1,Ansparphase!$BB$57/Ansparphase!$BA$57)))*(1-Parameter!$C$37))*Parameter!$C$36</f>
        <v>0</v>
      </c>
      <c r="AO29" s="43" t="n">
        <f aca="false">AI29+AK29*(1-IF(Ansparphase!$AZ$57=0,1,MIN(1,$CG$7/Ansparphase!$AZ$57)))*Parameter!$C$52</f>
        <v>0</v>
      </c>
      <c r="AP29" s="43" t="n">
        <f aca="false">MAX(0,G29+AO29)</f>
        <v>56915.5484809875</v>
      </c>
      <c r="AQ29" s="43" t="n">
        <f aca="false">MAX(0,(AP29+IF(Eingaben!$C$14=3,Eingaben!$C$15,0))/Parameter!$C$57/D29)</f>
        <v>22000</v>
      </c>
      <c r="AR29" s="43" t="n">
        <f aca="false">Parameter!$C$57*D29*(IF(AQ29&lt;=Parameter!$C$18,0,IF(AQ29&lt;=Parameter!$C$19,(Parameter!$C$22*(AQ29-Parameter!$C$18)/10000+Parameter!$C$23)*(AQ29-Parameter!$C$18)/10000,IF(AQ29&lt;=Parameter!$C$20,(Parameter!$C$24*(AQ29-Parameter!$C$19)/10000+Parameter!$C$25)*(AQ29-Parameter!$C$19)/10000+Parameter!$C$26,IF(AQ29&lt;=Parameter!$C$21,0.42*AQ29-Parameter!$C$27,0.45*AQ29-Parameter!$C$28)))))</f>
        <v>5361.44229231731</v>
      </c>
      <c r="AS29" s="43" t="n">
        <f aca="false">AR29+IF(AR29&lt;=(Parameter!$C$30*Parameter!$C$57*D29),0,MIN(Parameter!$C$29*AR29,Parameter!$C$31*(AR29-(Parameter!$C$30*Parameter!$C$57*D29))))+Eingaben!$C$16*AR29</f>
        <v>5361.44229231731</v>
      </c>
      <c r="AT29" s="43" t="n">
        <f aca="false">AI29+AK29-(AS29-J29)+AM29-AN29</f>
        <v>0</v>
      </c>
      <c r="AU29" s="43" t="n">
        <f aca="false">MAX(0,(AU28-AW28)*(1+Parameter!$C$62))</f>
        <v>0</v>
      </c>
      <c r="AV29" s="43" t="n">
        <f aca="false">MAX(0,AV28-AV28*IF(AU28=0,0,AW28/AU28))</f>
        <v>0</v>
      </c>
      <c r="AW29" s="43" t="n">
        <f aca="false">IF(F29=0,0,MIN(AU29,Ansparphase!$BE$57*$CG$5))</f>
        <v>0</v>
      </c>
      <c r="AX29" s="43" t="n">
        <f aca="false">AW29-IF(AU29=0,0,AV29*AW29/AU29)</f>
        <v>0</v>
      </c>
      <c r="AY29" s="43" t="n">
        <f aca="false">MAX(0,AX29*(1-Parameter!$C$37)-Parameter!$C$67)*Parameter!$C$36</f>
        <v>0</v>
      </c>
      <c r="AZ29" s="43" t="n">
        <f aca="false">AW29-AY29</f>
        <v>0</v>
      </c>
      <c r="BA29" s="41" t="n">
        <f aca="false">1/(1+Eingaben!$C$37)^C29</f>
        <v>0.386537608564891</v>
      </c>
      <c r="BB29" s="43" t="n">
        <f aca="false">IF(AND(Eingaben!$C$28=2,F29=0),(Ansparphase!$AW$57+Ansparphase!$AX$57)*Eingaben!$C$29/10000*12*(1+Eingaben!$C$30)^21,0)</f>
        <v>0</v>
      </c>
      <c r="BC29" s="41" t="n">
        <f aca="false">1/(1+Parameter!$C$68)^21</f>
        <v>0.321994116221535</v>
      </c>
    </row>
    <row r="30" customFormat="false" ht="15" hidden="false" customHeight="false" outlineLevel="0" collapsed="false">
      <c r="A30" s="30" t="n">
        <f aca="false">2026+C30</f>
        <v>2075</v>
      </c>
      <c r="B30" s="30" t="n">
        <f aca="false">Eingaben!$C$6+22</f>
        <v>89</v>
      </c>
      <c r="C30" s="30" t="n">
        <f aca="false">B30-Eingaben!$C$5</f>
        <v>49</v>
      </c>
      <c r="D30" s="38" t="n">
        <f aca="false">(1+Eingaben!$C$17)^C30</f>
        <v>2.63881179320942</v>
      </c>
      <c r="E30" s="38" t="n">
        <f aca="false">(1+Eingaben!$C$13)^C30</f>
        <v>3.35327679971077</v>
      </c>
      <c r="F30" s="30" t="n">
        <f aca="false">IF(B30&lt;=Eingaben!$C$7,1,0)</f>
        <v>0</v>
      </c>
      <c r="G30" s="40" t="n">
        <f aca="false">Eingaben!$C$40*(1+Eingaben!$C$37)^C30</f>
        <v>58053.8594506072</v>
      </c>
      <c r="H30" s="40" t="n">
        <f aca="false">MAX(0,(G30+IF(Eingaben!$C$14=3,Eingaben!$C$15,0))/Parameter!$C$57/D30)</f>
        <v>22000</v>
      </c>
      <c r="I30" s="40" t="n">
        <f aca="false">Parameter!$C$57*D30*(IF(H30&lt;=Parameter!$C$18,0,IF(H30&lt;=Parameter!$C$19,(Parameter!$C$22*(H30-Parameter!$C$18)/10000+Parameter!$C$23)*(H30-Parameter!$C$18)/10000,IF(H30&lt;=Parameter!$C$20,(Parameter!$C$24*(H30-Parameter!$C$19)/10000+Parameter!$C$25)*(H30-Parameter!$C$19)/10000+Parameter!$C$26,IF(H30&lt;=Parameter!$C$21,0.42*H30-Parameter!$C$27,0.45*H30-Parameter!$C$28)))))</f>
        <v>5468.67113816366</v>
      </c>
      <c r="J30" s="40" t="n">
        <f aca="false">I30+IF(I30&lt;=(Parameter!$C$30*Parameter!$C$57*D30),0,MIN(Parameter!$C$29*I30,Parameter!$C$31*(I30-(Parameter!$C$30*Parameter!$C$57*D30))))+Eingaben!$C$16*I30</f>
        <v>5468.67113816366</v>
      </c>
      <c r="K30" s="40" t="n">
        <f aca="false">IF(Eingaben!$C$28=1,IF(0=1,Ansparphase!$AW$57,0),(Ansparphase!$AW$57+Ansparphase!$AX$57)*Eingaben!$C$29/10000*12*(1+Eingaben!$C$30)^22*F30*IF((Ansparphase!$AW$57+Ansparphase!$AX$57)=0,0,Ansparphase!$AW$57/(Ansparphase!$AW$57+Ansparphase!$AX$57)))</f>
        <v>0</v>
      </c>
      <c r="L30" s="40" t="n">
        <f aca="false">IF(Eingaben!$C$28=1,IF(0=1,Ansparphase!$AX$57,0),(Ansparphase!$AW$57+Ansparphase!$AX$57)*Eingaben!$C$29/10000*12*(1+Eingaben!$C$30)^22*F30*IF((Ansparphase!$AW$57+Ansparphase!$AX$57)=0,0,Ansparphase!$AX$57/(Ansparphase!$AW$57+Ansparphase!$AX$57)))</f>
        <v>0</v>
      </c>
      <c r="M30" s="40" t="n">
        <f aca="false">K30+L30</f>
        <v>0</v>
      </c>
      <c r="N30" s="40" t="n">
        <f aca="false">K30+L30*IF(Eingaben!$C$28=1,(1-IF(Ansparphase!$AX$57=0,1,MIN(1,$CG$8/Ansparphase!$AX$57)))*Parameter!$C$52,Parameter!$C$51)</f>
        <v>0</v>
      </c>
      <c r="O30" s="40" t="n">
        <f aca="false">IF(Eingaben!$C$28=1,IF(22&lt;10,(Ansparphase!$AW$57+Ansparphase!$AX$57)/120,0),M30/12)</f>
        <v>0</v>
      </c>
      <c r="P30" s="40" t="n">
        <f aca="false">Eingaben!$C$41/12*(1+Eingaben!$C$13)^C30</f>
        <v>6706.55359942154</v>
      </c>
      <c r="Q30" s="40" t="n">
        <f aca="false">MAX(0,MIN(O30,Parameter!$C$5/12*E30-P30))</f>
        <v>0</v>
      </c>
      <c r="R30" s="40" t="n">
        <f aca="false">IF(Eingaben!$C$39=2,0,MAX(0,Q30-Parameter!$C$7*E30)*Parameter!$C$54*12)</f>
        <v>0</v>
      </c>
      <c r="S30" s="40" t="n">
        <f aca="false">IF(Eingaben!$C$39=2,0,IF(O30&gt;Parameter!$C$7*E30,Q30*Parameter!$C$59*12,0))</f>
        <v>0</v>
      </c>
      <c r="T30" s="40" t="n">
        <f aca="false">R30+S30</f>
        <v>0</v>
      </c>
      <c r="U30" s="40" t="n">
        <f aca="false">Ansparphase!$BJ$57*Parameter!$C$9*12*(1+Eingaben!$C$13)^(Eingaben!$C$6-Eingaben!$C$5)*(1+Eingaben!$C$13)^22*F30</f>
        <v>0</v>
      </c>
      <c r="V30" s="40" t="n">
        <f aca="false">U30*Parameter!$C$66</f>
        <v>0</v>
      </c>
      <c r="W30" s="40" t="n">
        <f aca="false">IF(Eingaben!$C$39=2,0,U30*(Parameter!$C$53+Parameter!$C$59))</f>
        <v>0</v>
      </c>
      <c r="X30" s="40" t="n">
        <f aca="false">MAX(0,G30-V30+N30-T30+W30)</f>
        <v>58053.8594506072</v>
      </c>
      <c r="Y30" s="40" t="n">
        <f aca="false">MAX(0,(X30+IF(Eingaben!$C$14=3,Eingaben!$C$15,0))/Parameter!$C$57/D30)</f>
        <v>22000</v>
      </c>
      <c r="Z30" s="40" t="n">
        <f aca="false">Parameter!$C$57*D30*(IF(Y30&lt;=Parameter!$C$18,0,IF(Y30&lt;=Parameter!$C$19,(Parameter!$C$22*(Y30-Parameter!$C$18)/10000+Parameter!$C$23)*(Y30-Parameter!$C$18)/10000,IF(Y30&lt;=Parameter!$C$20,(Parameter!$C$24*(Y30-Parameter!$C$19)/10000+Parameter!$C$25)*(Y30-Parameter!$C$19)/10000+Parameter!$C$26,IF(Y30&lt;=Parameter!$C$21,0.42*Y30-Parameter!$C$27,0.45*Y30-Parameter!$C$28)))))</f>
        <v>5468.67113816366</v>
      </c>
      <c r="AA30" s="40" t="n">
        <f aca="false">Z30+IF(Z30&lt;=(Parameter!$C$30*Parameter!$C$57*D30),0,MIN(Parameter!$C$29*Z30,Parameter!$C$31*(Z30-(Parameter!$C$30*Parameter!$C$57*D30))))+Eingaben!$C$16*Z30</f>
        <v>5468.67113816366</v>
      </c>
      <c r="AB30" s="40" t="n">
        <f aca="false">MAX(0,G30-V30+N30/5-T30+W30)</f>
        <v>58053.8594506072</v>
      </c>
      <c r="AC30" s="40" t="n">
        <f aca="false">MAX(0,(AB30+IF(Eingaben!$C$14=3,Eingaben!$C$15,0))/Parameter!$C$57/D30)</f>
        <v>22000</v>
      </c>
      <c r="AD30" s="40" t="n">
        <f aca="false">Parameter!$C$57*D30*(IF(AC30&lt;=Parameter!$C$18,0,IF(AC30&lt;=Parameter!$C$19,(Parameter!$C$22*(AC30-Parameter!$C$18)/10000+Parameter!$C$23)*(AC30-Parameter!$C$18)/10000,IF(AC30&lt;=Parameter!$C$20,(Parameter!$C$24*(AC30-Parameter!$C$19)/10000+Parameter!$C$25)*(AC30-Parameter!$C$19)/10000+Parameter!$C$26,IF(AC30&lt;=Parameter!$C$21,0.42*AC30-Parameter!$C$27,0.45*AC30-Parameter!$C$28)))))</f>
        <v>5468.67113816366</v>
      </c>
      <c r="AE30" s="40" t="n">
        <f aca="false">AD30+IF(AD30&lt;=(Parameter!$C$30*Parameter!$C$57*D30),0,MIN(Parameter!$C$29*AD30,Parameter!$C$31*(AD30-(Parameter!$C$30*Parameter!$C$57*D30))))+Eingaben!$C$16*AD30</f>
        <v>5468.67113816366</v>
      </c>
      <c r="AF30" s="40" t="n">
        <f aca="false">IF(AND(Eingaben!$C$31=1,Eingaben!$C$28=1,M30&gt;0),MIN(AA30-J30,5*(AE30-J30)),AA30-J30)</f>
        <v>0</v>
      </c>
      <c r="AG30" s="40" t="n">
        <f aca="false">M30-T30-AF30-U30+W30</f>
        <v>0</v>
      </c>
      <c r="AH30" s="40" t="n">
        <f aca="false">MAX(0,(AH29-AI29)*(1+Parameter!$C$61))</f>
        <v>0</v>
      </c>
      <c r="AI30" s="40" t="n">
        <f aca="false">IF(F30=0,0,MIN(AH30,Ansparphase!$AY$57*IF(22=0,Eingaben!$C$42,0)+(Ansparphase!$AY$57*(1-Eingaben!$C$42))*$CG$4))</f>
        <v>0</v>
      </c>
      <c r="AJ30" s="40" t="n">
        <f aca="false">MAX(0,(AJ29-AK29)*(1+Parameter!$C$61))</f>
        <v>0</v>
      </c>
      <c r="AK30" s="40" t="n">
        <f aca="false">IF(F30=0,0,MIN(AJ30,Ansparphase!$AZ$57*IF(22=0,Eingaben!$C$42,0)+(Ansparphase!$AZ$57*(1-Eingaben!$C$42))*$CG$4))</f>
        <v>0</v>
      </c>
      <c r="AL30" s="40" t="n">
        <f aca="false">MAX(0,(AL29-AM29)*(1+Parameter!$C$62))</f>
        <v>0</v>
      </c>
      <c r="AM30" s="40" t="n">
        <f aca="false">IF(F30=0,0,MIN(AL30,Ansparphase!$BA$57*$CG$5))</f>
        <v>0</v>
      </c>
      <c r="AN30" s="40" t="n">
        <f aca="false">MAX(0,AM30*(1-IF(Ansparphase!$BA$57=0,1,MIN(1,Ansparphase!$BB$57/Ansparphase!$BA$57)))*(1-Parameter!$C$37))*Parameter!$C$36</f>
        <v>0</v>
      </c>
      <c r="AO30" s="40" t="n">
        <f aca="false">AI30+AK30*(1-IF(Ansparphase!$AZ$57=0,1,MIN(1,$CG$7/Ansparphase!$AZ$57)))*Parameter!$C$52</f>
        <v>0</v>
      </c>
      <c r="AP30" s="40" t="n">
        <f aca="false">MAX(0,G30+AO30)</f>
        <v>58053.8594506072</v>
      </c>
      <c r="AQ30" s="40" t="n">
        <f aca="false">MAX(0,(AP30+IF(Eingaben!$C$14=3,Eingaben!$C$15,0))/Parameter!$C$57/D30)</f>
        <v>22000</v>
      </c>
      <c r="AR30" s="40" t="n">
        <f aca="false">Parameter!$C$57*D30*(IF(AQ30&lt;=Parameter!$C$18,0,IF(AQ30&lt;=Parameter!$C$19,(Parameter!$C$22*(AQ30-Parameter!$C$18)/10000+Parameter!$C$23)*(AQ30-Parameter!$C$18)/10000,IF(AQ30&lt;=Parameter!$C$20,(Parameter!$C$24*(AQ30-Parameter!$C$19)/10000+Parameter!$C$25)*(AQ30-Parameter!$C$19)/10000+Parameter!$C$26,IF(AQ30&lt;=Parameter!$C$21,0.42*AQ30-Parameter!$C$27,0.45*AQ30-Parameter!$C$28)))))</f>
        <v>5468.67113816366</v>
      </c>
      <c r="AS30" s="40" t="n">
        <f aca="false">AR30+IF(AR30&lt;=(Parameter!$C$30*Parameter!$C$57*D30),0,MIN(Parameter!$C$29*AR30,Parameter!$C$31*(AR30-(Parameter!$C$30*Parameter!$C$57*D30))))+Eingaben!$C$16*AR30</f>
        <v>5468.67113816366</v>
      </c>
      <c r="AT30" s="40" t="n">
        <f aca="false">AI30+AK30-(AS30-J30)+AM30-AN30</f>
        <v>0</v>
      </c>
      <c r="AU30" s="40" t="n">
        <f aca="false">MAX(0,(AU29-AW29)*(1+Parameter!$C$62))</f>
        <v>0</v>
      </c>
      <c r="AV30" s="40" t="n">
        <f aca="false">MAX(0,AV29-AV29*IF(AU29=0,0,AW29/AU29))</f>
        <v>0</v>
      </c>
      <c r="AW30" s="40" t="n">
        <f aca="false">IF(F30=0,0,MIN(AU30,Ansparphase!$BE$57*$CG$5))</f>
        <v>0</v>
      </c>
      <c r="AX30" s="40" t="n">
        <f aca="false">AW30-IF(AU30=0,0,AV30*AW30/AU30)</f>
        <v>0</v>
      </c>
      <c r="AY30" s="40" t="n">
        <f aca="false">MAX(0,AX30*(1-Parameter!$C$37)-Parameter!$C$67)*Parameter!$C$36</f>
        <v>0</v>
      </c>
      <c r="AZ30" s="40" t="n">
        <f aca="false">AW30-AY30</f>
        <v>0</v>
      </c>
      <c r="BA30" s="38" t="n">
        <f aca="false">1/(1+Eingaben!$C$37)^C30</f>
        <v>0.378958439769501</v>
      </c>
      <c r="BB30" s="40" t="n">
        <f aca="false">IF(AND(Eingaben!$C$28=2,F30=0),(Ansparphase!$AW$57+Ansparphase!$AX$57)*Eingaben!$C$29/10000*12*(1+Eingaben!$C$30)^22,0)</f>
        <v>0</v>
      </c>
      <c r="BC30" s="38" t="n">
        <f aca="false">1/(1+Parameter!$C$68)^22</f>
        <v>0.305078865959005</v>
      </c>
    </row>
    <row r="31" customFormat="false" ht="15" hidden="false" customHeight="false" outlineLevel="0" collapsed="false">
      <c r="A31" s="32" t="n">
        <f aca="false">2026+C31</f>
        <v>2076</v>
      </c>
      <c r="B31" s="32" t="n">
        <f aca="false">Eingaben!$C$6+23</f>
        <v>90</v>
      </c>
      <c r="C31" s="32" t="n">
        <f aca="false">B31-Eingaben!$C$5</f>
        <v>50</v>
      </c>
      <c r="D31" s="41" t="n">
        <f aca="false">(1+Eingaben!$C$17)^C31</f>
        <v>2.69158802907361</v>
      </c>
      <c r="E31" s="41" t="n">
        <f aca="false">(1+Eingaben!$C$13)^C31</f>
        <v>3.43710871970354</v>
      </c>
      <c r="F31" s="32" t="n">
        <f aca="false">IF(B31&lt;=Eingaben!$C$7,1,0)</f>
        <v>0</v>
      </c>
      <c r="G31" s="43" t="n">
        <f aca="false">Eingaben!$C$40*(1+Eingaben!$C$37)^C31</f>
        <v>59214.9366396194</v>
      </c>
      <c r="H31" s="43" t="n">
        <f aca="false">MAX(0,(G31+IF(Eingaben!$C$14=3,Eingaben!$C$15,0))/Parameter!$C$57/D31)</f>
        <v>22000</v>
      </c>
      <c r="I31" s="43" t="n">
        <f aca="false">Parameter!$C$57*D31*(IF(H31&lt;=Parameter!$C$18,0,IF(H31&lt;=Parameter!$C$19,(Parameter!$C$22*(H31-Parameter!$C$18)/10000+Parameter!$C$23)*(H31-Parameter!$C$18)/10000,IF(H31&lt;=Parameter!$C$20,(Parameter!$C$24*(H31-Parameter!$C$19)/10000+Parameter!$C$25)*(H31-Parameter!$C$19)/10000+Parameter!$C$26,IF(H31&lt;=Parameter!$C$21,0.42*H31-Parameter!$C$27,0.45*H31-Parameter!$C$28)))))</f>
        <v>5578.04456092693</v>
      </c>
      <c r="J31" s="43" t="n">
        <f aca="false">I31+IF(I31&lt;=(Parameter!$C$30*Parameter!$C$57*D31),0,MIN(Parameter!$C$29*I31,Parameter!$C$31*(I31-(Parameter!$C$30*Parameter!$C$57*D31))))+Eingaben!$C$16*I31</f>
        <v>5578.04456092693</v>
      </c>
      <c r="K31" s="43" t="n">
        <f aca="false">IF(Eingaben!$C$28=1,IF(0=1,Ansparphase!$AW$57,0),(Ansparphase!$AW$57+Ansparphase!$AX$57)*Eingaben!$C$29/10000*12*(1+Eingaben!$C$30)^23*F31*IF((Ansparphase!$AW$57+Ansparphase!$AX$57)=0,0,Ansparphase!$AW$57/(Ansparphase!$AW$57+Ansparphase!$AX$57)))</f>
        <v>0</v>
      </c>
      <c r="L31" s="43" t="n">
        <f aca="false">IF(Eingaben!$C$28=1,IF(0=1,Ansparphase!$AX$57,0),(Ansparphase!$AW$57+Ansparphase!$AX$57)*Eingaben!$C$29/10000*12*(1+Eingaben!$C$30)^23*F31*IF((Ansparphase!$AW$57+Ansparphase!$AX$57)=0,0,Ansparphase!$AX$57/(Ansparphase!$AW$57+Ansparphase!$AX$57)))</f>
        <v>0</v>
      </c>
      <c r="M31" s="43" t="n">
        <f aca="false">K31+L31</f>
        <v>0</v>
      </c>
      <c r="N31" s="43" t="n">
        <f aca="false">K31+L31*IF(Eingaben!$C$28=1,(1-IF(Ansparphase!$AX$57=0,1,MIN(1,$CG$8/Ansparphase!$AX$57)))*Parameter!$C$52,Parameter!$C$51)</f>
        <v>0</v>
      </c>
      <c r="O31" s="43" t="n">
        <f aca="false">IF(Eingaben!$C$28=1,IF(23&lt;10,(Ansparphase!$AW$57+Ansparphase!$AX$57)/120,0),M31/12)</f>
        <v>0</v>
      </c>
      <c r="P31" s="43" t="n">
        <f aca="false">Eingaben!$C$41/12*(1+Eingaben!$C$13)^C31</f>
        <v>6874.21743940707</v>
      </c>
      <c r="Q31" s="43" t="n">
        <f aca="false">MAX(0,MIN(O31,Parameter!$C$5/12*E31-P31))</f>
        <v>0</v>
      </c>
      <c r="R31" s="43" t="n">
        <f aca="false">IF(Eingaben!$C$39=2,0,MAX(0,Q31-Parameter!$C$7*E31)*Parameter!$C$54*12)</f>
        <v>0</v>
      </c>
      <c r="S31" s="43" t="n">
        <f aca="false">IF(Eingaben!$C$39=2,0,IF(O31&gt;Parameter!$C$7*E31,Q31*Parameter!$C$59*12,0))</f>
        <v>0</v>
      </c>
      <c r="T31" s="43" t="n">
        <f aca="false">R31+S31</f>
        <v>0</v>
      </c>
      <c r="U31" s="43" t="n">
        <f aca="false">Ansparphase!$BJ$57*Parameter!$C$9*12*(1+Eingaben!$C$13)^(Eingaben!$C$6-Eingaben!$C$5)*(1+Eingaben!$C$13)^23*F31</f>
        <v>0</v>
      </c>
      <c r="V31" s="43" t="n">
        <f aca="false">U31*Parameter!$C$66</f>
        <v>0</v>
      </c>
      <c r="W31" s="43" t="n">
        <f aca="false">IF(Eingaben!$C$39=2,0,U31*(Parameter!$C$53+Parameter!$C$59))</f>
        <v>0</v>
      </c>
      <c r="X31" s="43" t="n">
        <f aca="false">MAX(0,G31-V31+N31-T31+W31)</f>
        <v>59214.9366396194</v>
      </c>
      <c r="Y31" s="43" t="n">
        <f aca="false">MAX(0,(X31+IF(Eingaben!$C$14=3,Eingaben!$C$15,0))/Parameter!$C$57/D31)</f>
        <v>22000</v>
      </c>
      <c r="Z31" s="43" t="n">
        <f aca="false">Parameter!$C$57*D31*(IF(Y31&lt;=Parameter!$C$18,0,IF(Y31&lt;=Parameter!$C$19,(Parameter!$C$22*(Y31-Parameter!$C$18)/10000+Parameter!$C$23)*(Y31-Parameter!$C$18)/10000,IF(Y31&lt;=Parameter!$C$20,(Parameter!$C$24*(Y31-Parameter!$C$19)/10000+Parameter!$C$25)*(Y31-Parameter!$C$19)/10000+Parameter!$C$26,IF(Y31&lt;=Parameter!$C$21,0.42*Y31-Parameter!$C$27,0.45*Y31-Parameter!$C$28)))))</f>
        <v>5578.04456092693</v>
      </c>
      <c r="AA31" s="43" t="n">
        <f aca="false">Z31+IF(Z31&lt;=(Parameter!$C$30*Parameter!$C$57*D31),0,MIN(Parameter!$C$29*Z31,Parameter!$C$31*(Z31-(Parameter!$C$30*Parameter!$C$57*D31))))+Eingaben!$C$16*Z31</f>
        <v>5578.04456092693</v>
      </c>
      <c r="AB31" s="43" t="n">
        <f aca="false">MAX(0,G31-V31+N31/5-T31+W31)</f>
        <v>59214.9366396194</v>
      </c>
      <c r="AC31" s="43" t="n">
        <f aca="false">MAX(0,(AB31+IF(Eingaben!$C$14=3,Eingaben!$C$15,0))/Parameter!$C$57/D31)</f>
        <v>22000</v>
      </c>
      <c r="AD31" s="43" t="n">
        <f aca="false">Parameter!$C$57*D31*(IF(AC31&lt;=Parameter!$C$18,0,IF(AC31&lt;=Parameter!$C$19,(Parameter!$C$22*(AC31-Parameter!$C$18)/10000+Parameter!$C$23)*(AC31-Parameter!$C$18)/10000,IF(AC31&lt;=Parameter!$C$20,(Parameter!$C$24*(AC31-Parameter!$C$19)/10000+Parameter!$C$25)*(AC31-Parameter!$C$19)/10000+Parameter!$C$26,IF(AC31&lt;=Parameter!$C$21,0.42*AC31-Parameter!$C$27,0.45*AC31-Parameter!$C$28)))))</f>
        <v>5578.04456092693</v>
      </c>
      <c r="AE31" s="43" t="n">
        <f aca="false">AD31+IF(AD31&lt;=(Parameter!$C$30*Parameter!$C$57*D31),0,MIN(Parameter!$C$29*AD31,Parameter!$C$31*(AD31-(Parameter!$C$30*Parameter!$C$57*D31))))+Eingaben!$C$16*AD31</f>
        <v>5578.04456092693</v>
      </c>
      <c r="AF31" s="43" t="n">
        <f aca="false">IF(AND(Eingaben!$C$31=1,Eingaben!$C$28=1,M31&gt;0),MIN(AA31-J31,5*(AE31-J31)),AA31-J31)</f>
        <v>0</v>
      </c>
      <c r="AG31" s="43" t="n">
        <f aca="false">M31-T31-AF31-U31+W31</f>
        <v>0</v>
      </c>
      <c r="AH31" s="43" t="n">
        <f aca="false">MAX(0,(AH30-AI30)*(1+Parameter!$C$61))</f>
        <v>0</v>
      </c>
      <c r="AI31" s="43" t="n">
        <f aca="false">IF(F31=0,0,MIN(AH31,Ansparphase!$AY$57*IF(23=0,Eingaben!$C$42,0)+(Ansparphase!$AY$57*(1-Eingaben!$C$42))*$CG$4))</f>
        <v>0</v>
      </c>
      <c r="AJ31" s="43" t="n">
        <f aca="false">MAX(0,(AJ30-AK30)*(1+Parameter!$C$61))</f>
        <v>0</v>
      </c>
      <c r="AK31" s="43" t="n">
        <f aca="false">IF(F31=0,0,MIN(AJ31,Ansparphase!$AZ$57*IF(23=0,Eingaben!$C$42,0)+(Ansparphase!$AZ$57*(1-Eingaben!$C$42))*$CG$4))</f>
        <v>0</v>
      </c>
      <c r="AL31" s="43" t="n">
        <f aca="false">MAX(0,(AL30-AM30)*(1+Parameter!$C$62))</f>
        <v>0</v>
      </c>
      <c r="AM31" s="43" t="n">
        <f aca="false">IF(F31=0,0,MIN(AL31,Ansparphase!$BA$57*$CG$5))</f>
        <v>0</v>
      </c>
      <c r="AN31" s="43" t="n">
        <f aca="false">MAX(0,AM31*(1-IF(Ansparphase!$BA$57=0,1,MIN(1,Ansparphase!$BB$57/Ansparphase!$BA$57)))*(1-Parameter!$C$37))*Parameter!$C$36</f>
        <v>0</v>
      </c>
      <c r="AO31" s="43" t="n">
        <f aca="false">AI31+AK31*(1-IF(Ansparphase!$AZ$57=0,1,MIN(1,$CG$7/Ansparphase!$AZ$57)))*Parameter!$C$52</f>
        <v>0</v>
      </c>
      <c r="AP31" s="43" t="n">
        <f aca="false">MAX(0,G31+AO31)</f>
        <v>59214.9366396194</v>
      </c>
      <c r="AQ31" s="43" t="n">
        <f aca="false">MAX(0,(AP31+IF(Eingaben!$C$14=3,Eingaben!$C$15,0))/Parameter!$C$57/D31)</f>
        <v>22000</v>
      </c>
      <c r="AR31" s="43" t="n">
        <f aca="false">Parameter!$C$57*D31*(IF(AQ31&lt;=Parameter!$C$18,0,IF(AQ31&lt;=Parameter!$C$19,(Parameter!$C$22*(AQ31-Parameter!$C$18)/10000+Parameter!$C$23)*(AQ31-Parameter!$C$18)/10000,IF(AQ31&lt;=Parameter!$C$20,(Parameter!$C$24*(AQ31-Parameter!$C$19)/10000+Parameter!$C$25)*(AQ31-Parameter!$C$19)/10000+Parameter!$C$26,IF(AQ31&lt;=Parameter!$C$21,0.42*AQ31-Parameter!$C$27,0.45*AQ31-Parameter!$C$28)))))</f>
        <v>5578.04456092693</v>
      </c>
      <c r="AS31" s="43" t="n">
        <f aca="false">AR31+IF(AR31&lt;=(Parameter!$C$30*Parameter!$C$57*D31),0,MIN(Parameter!$C$29*AR31,Parameter!$C$31*(AR31-(Parameter!$C$30*Parameter!$C$57*D31))))+Eingaben!$C$16*AR31</f>
        <v>5578.04456092693</v>
      </c>
      <c r="AT31" s="43" t="n">
        <f aca="false">AI31+AK31-(AS31-J31)+AM31-AN31</f>
        <v>0</v>
      </c>
      <c r="AU31" s="43" t="n">
        <f aca="false">MAX(0,(AU30-AW30)*(1+Parameter!$C$62))</f>
        <v>0</v>
      </c>
      <c r="AV31" s="43" t="n">
        <f aca="false">MAX(0,AV30-AV30*IF(AU30=0,0,AW30/AU30))</f>
        <v>0</v>
      </c>
      <c r="AW31" s="43" t="n">
        <f aca="false">IF(F31=0,0,MIN(AU31,Ansparphase!$BE$57*$CG$5))</f>
        <v>0</v>
      </c>
      <c r="AX31" s="43" t="n">
        <f aca="false">AW31-IF(AU31=0,0,AV31*AW31/AU31)</f>
        <v>0</v>
      </c>
      <c r="AY31" s="43" t="n">
        <f aca="false">MAX(0,AX31*(1-Parameter!$C$37)-Parameter!$C$67)*Parameter!$C$36</f>
        <v>0</v>
      </c>
      <c r="AZ31" s="43" t="n">
        <f aca="false">AW31-AY31</f>
        <v>0</v>
      </c>
      <c r="BA31" s="41" t="n">
        <f aca="false">1/(1+Eingaben!$C$37)^C31</f>
        <v>0.371527882126962</v>
      </c>
      <c r="BB31" s="43" t="n">
        <f aca="false">IF(AND(Eingaben!$C$28=2,F31=0),(Ansparphase!$AW$57+Ansparphase!$AX$57)*Eingaben!$C$29/10000*12*(1+Eingaben!$C$30)^23,0)</f>
        <v>0</v>
      </c>
      <c r="BC31" s="41" t="n">
        <f aca="false">1/(1+Parameter!$C$68)^23</f>
        <v>0.289052221037472</v>
      </c>
    </row>
    <row r="32" customFormat="false" ht="15" hidden="false" customHeight="false" outlineLevel="0" collapsed="false">
      <c r="A32" s="30" t="n">
        <f aca="false">2026+C32</f>
        <v>2077</v>
      </c>
      <c r="B32" s="30" t="n">
        <f aca="false">Eingaben!$C$6+24</f>
        <v>91</v>
      </c>
      <c r="C32" s="30" t="n">
        <f aca="false">B32-Eingaben!$C$5</f>
        <v>51</v>
      </c>
      <c r="D32" s="38" t="n">
        <f aca="false">(1+Eingaben!$C$17)^C32</f>
        <v>2.74541978965508</v>
      </c>
      <c r="E32" s="38" t="n">
        <f aca="false">(1+Eingaben!$C$13)^C32</f>
        <v>3.52303643769612</v>
      </c>
      <c r="F32" s="30" t="n">
        <f aca="false">IF(B32&lt;=Eingaben!$C$7,1,0)</f>
        <v>0</v>
      </c>
      <c r="G32" s="40" t="n">
        <f aca="false">Eingaben!$C$40*(1+Eingaben!$C$37)^C32</f>
        <v>60399.2353724118</v>
      </c>
      <c r="H32" s="40" t="n">
        <f aca="false">MAX(0,(G32+IF(Eingaben!$C$14=3,Eingaben!$C$15,0))/Parameter!$C$57/D32)</f>
        <v>22000</v>
      </c>
      <c r="I32" s="40" t="n">
        <f aca="false">Parameter!$C$57*D32*(IF(H32&lt;=Parameter!$C$18,0,IF(H32&lt;=Parameter!$C$19,(Parameter!$C$22*(H32-Parameter!$C$18)/10000+Parameter!$C$23)*(H32-Parameter!$C$18)/10000,IF(H32&lt;=Parameter!$C$20,(Parameter!$C$24*(H32-Parameter!$C$19)/10000+Parameter!$C$25)*(H32-Parameter!$C$19)/10000+Parameter!$C$26,IF(H32&lt;=Parameter!$C$21,0.42*H32-Parameter!$C$27,0.45*H32-Parameter!$C$28)))))</f>
        <v>5689.60545214547</v>
      </c>
      <c r="J32" s="40" t="n">
        <f aca="false">I32+IF(I32&lt;=(Parameter!$C$30*Parameter!$C$57*D32),0,MIN(Parameter!$C$29*I32,Parameter!$C$31*(I32-(Parameter!$C$30*Parameter!$C$57*D32))))+Eingaben!$C$16*I32</f>
        <v>5689.60545214547</v>
      </c>
      <c r="K32" s="40" t="n">
        <f aca="false">IF(Eingaben!$C$28=1,IF(0=1,Ansparphase!$AW$57,0),(Ansparphase!$AW$57+Ansparphase!$AX$57)*Eingaben!$C$29/10000*12*(1+Eingaben!$C$30)^24*F32*IF((Ansparphase!$AW$57+Ansparphase!$AX$57)=0,0,Ansparphase!$AW$57/(Ansparphase!$AW$57+Ansparphase!$AX$57)))</f>
        <v>0</v>
      </c>
      <c r="L32" s="40" t="n">
        <f aca="false">IF(Eingaben!$C$28=1,IF(0=1,Ansparphase!$AX$57,0),(Ansparphase!$AW$57+Ansparphase!$AX$57)*Eingaben!$C$29/10000*12*(1+Eingaben!$C$30)^24*F32*IF((Ansparphase!$AW$57+Ansparphase!$AX$57)=0,0,Ansparphase!$AX$57/(Ansparphase!$AW$57+Ansparphase!$AX$57)))</f>
        <v>0</v>
      </c>
      <c r="M32" s="40" t="n">
        <f aca="false">K32+L32</f>
        <v>0</v>
      </c>
      <c r="N32" s="40" t="n">
        <f aca="false">K32+L32*IF(Eingaben!$C$28=1,(1-IF(Ansparphase!$AX$57=0,1,MIN(1,$CG$8/Ansparphase!$AX$57)))*Parameter!$C$52,Parameter!$C$51)</f>
        <v>0</v>
      </c>
      <c r="O32" s="40" t="n">
        <f aca="false">IF(Eingaben!$C$28=1,IF(24&lt;10,(Ansparphase!$AW$57+Ansparphase!$AX$57)/120,0),M32/12)</f>
        <v>0</v>
      </c>
      <c r="P32" s="40" t="n">
        <f aca="false">Eingaben!$C$41/12*(1+Eingaben!$C$13)^C32</f>
        <v>7046.07287539225</v>
      </c>
      <c r="Q32" s="40" t="n">
        <f aca="false">MAX(0,MIN(O32,Parameter!$C$5/12*E32-P32))</f>
        <v>0</v>
      </c>
      <c r="R32" s="40" t="n">
        <f aca="false">IF(Eingaben!$C$39=2,0,MAX(0,Q32-Parameter!$C$7*E32)*Parameter!$C$54*12)</f>
        <v>0</v>
      </c>
      <c r="S32" s="40" t="n">
        <f aca="false">IF(Eingaben!$C$39=2,0,IF(O32&gt;Parameter!$C$7*E32,Q32*Parameter!$C$59*12,0))</f>
        <v>0</v>
      </c>
      <c r="T32" s="40" t="n">
        <f aca="false">R32+S32</f>
        <v>0</v>
      </c>
      <c r="U32" s="40" t="n">
        <f aca="false">Ansparphase!$BJ$57*Parameter!$C$9*12*(1+Eingaben!$C$13)^(Eingaben!$C$6-Eingaben!$C$5)*(1+Eingaben!$C$13)^24*F32</f>
        <v>0</v>
      </c>
      <c r="V32" s="40" t="n">
        <f aca="false">U32*Parameter!$C$66</f>
        <v>0</v>
      </c>
      <c r="W32" s="40" t="n">
        <f aca="false">IF(Eingaben!$C$39=2,0,U32*(Parameter!$C$53+Parameter!$C$59))</f>
        <v>0</v>
      </c>
      <c r="X32" s="40" t="n">
        <f aca="false">MAX(0,G32-V32+N32-T32+W32)</f>
        <v>60399.2353724118</v>
      </c>
      <c r="Y32" s="40" t="n">
        <f aca="false">MAX(0,(X32+IF(Eingaben!$C$14=3,Eingaben!$C$15,0))/Parameter!$C$57/D32)</f>
        <v>22000</v>
      </c>
      <c r="Z32" s="40" t="n">
        <f aca="false">Parameter!$C$57*D32*(IF(Y32&lt;=Parameter!$C$18,0,IF(Y32&lt;=Parameter!$C$19,(Parameter!$C$22*(Y32-Parameter!$C$18)/10000+Parameter!$C$23)*(Y32-Parameter!$C$18)/10000,IF(Y32&lt;=Parameter!$C$20,(Parameter!$C$24*(Y32-Parameter!$C$19)/10000+Parameter!$C$25)*(Y32-Parameter!$C$19)/10000+Parameter!$C$26,IF(Y32&lt;=Parameter!$C$21,0.42*Y32-Parameter!$C$27,0.45*Y32-Parameter!$C$28)))))</f>
        <v>5689.60545214547</v>
      </c>
      <c r="AA32" s="40" t="n">
        <f aca="false">Z32+IF(Z32&lt;=(Parameter!$C$30*Parameter!$C$57*D32),0,MIN(Parameter!$C$29*Z32,Parameter!$C$31*(Z32-(Parameter!$C$30*Parameter!$C$57*D32))))+Eingaben!$C$16*Z32</f>
        <v>5689.60545214547</v>
      </c>
      <c r="AB32" s="40" t="n">
        <f aca="false">MAX(0,G32-V32+N32/5-T32+W32)</f>
        <v>60399.2353724118</v>
      </c>
      <c r="AC32" s="40" t="n">
        <f aca="false">MAX(0,(AB32+IF(Eingaben!$C$14=3,Eingaben!$C$15,0))/Parameter!$C$57/D32)</f>
        <v>22000</v>
      </c>
      <c r="AD32" s="40" t="n">
        <f aca="false">Parameter!$C$57*D32*(IF(AC32&lt;=Parameter!$C$18,0,IF(AC32&lt;=Parameter!$C$19,(Parameter!$C$22*(AC32-Parameter!$C$18)/10000+Parameter!$C$23)*(AC32-Parameter!$C$18)/10000,IF(AC32&lt;=Parameter!$C$20,(Parameter!$C$24*(AC32-Parameter!$C$19)/10000+Parameter!$C$25)*(AC32-Parameter!$C$19)/10000+Parameter!$C$26,IF(AC32&lt;=Parameter!$C$21,0.42*AC32-Parameter!$C$27,0.45*AC32-Parameter!$C$28)))))</f>
        <v>5689.60545214547</v>
      </c>
      <c r="AE32" s="40" t="n">
        <f aca="false">AD32+IF(AD32&lt;=(Parameter!$C$30*Parameter!$C$57*D32),0,MIN(Parameter!$C$29*AD32,Parameter!$C$31*(AD32-(Parameter!$C$30*Parameter!$C$57*D32))))+Eingaben!$C$16*AD32</f>
        <v>5689.60545214547</v>
      </c>
      <c r="AF32" s="40" t="n">
        <f aca="false">IF(AND(Eingaben!$C$31=1,Eingaben!$C$28=1,M32&gt;0),MIN(AA32-J32,5*(AE32-J32)),AA32-J32)</f>
        <v>0</v>
      </c>
      <c r="AG32" s="40" t="n">
        <f aca="false">M32-T32-AF32-U32+W32</f>
        <v>0</v>
      </c>
      <c r="AH32" s="40" t="n">
        <f aca="false">MAX(0,(AH31-AI31)*(1+Parameter!$C$61))</f>
        <v>0</v>
      </c>
      <c r="AI32" s="40" t="n">
        <f aca="false">IF(F32=0,0,MIN(AH32,Ansparphase!$AY$57*IF(24=0,Eingaben!$C$42,0)+(Ansparphase!$AY$57*(1-Eingaben!$C$42))*$CG$4))</f>
        <v>0</v>
      </c>
      <c r="AJ32" s="40" t="n">
        <f aca="false">MAX(0,(AJ31-AK31)*(1+Parameter!$C$61))</f>
        <v>0</v>
      </c>
      <c r="AK32" s="40" t="n">
        <f aca="false">IF(F32=0,0,MIN(AJ32,Ansparphase!$AZ$57*IF(24=0,Eingaben!$C$42,0)+(Ansparphase!$AZ$57*(1-Eingaben!$C$42))*$CG$4))</f>
        <v>0</v>
      </c>
      <c r="AL32" s="40" t="n">
        <f aca="false">MAX(0,(AL31-AM31)*(1+Parameter!$C$62))</f>
        <v>0</v>
      </c>
      <c r="AM32" s="40" t="n">
        <f aca="false">IF(F32=0,0,MIN(AL32,Ansparphase!$BA$57*$CG$5))</f>
        <v>0</v>
      </c>
      <c r="AN32" s="40" t="n">
        <f aca="false">MAX(0,AM32*(1-IF(Ansparphase!$BA$57=0,1,MIN(1,Ansparphase!$BB$57/Ansparphase!$BA$57)))*(1-Parameter!$C$37))*Parameter!$C$36</f>
        <v>0</v>
      </c>
      <c r="AO32" s="40" t="n">
        <f aca="false">AI32+AK32*(1-IF(Ansparphase!$AZ$57=0,1,MIN(1,$CG$7/Ansparphase!$AZ$57)))*Parameter!$C$52</f>
        <v>0</v>
      </c>
      <c r="AP32" s="40" t="n">
        <f aca="false">MAX(0,G32+AO32)</f>
        <v>60399.2353724118</v>
      </c>
      <c r="AQ32" s="40" t="n">
        <f aca="false">MAX(0,(AP32+IF(Eingaben!$C$14=3,Eingaben!$C$15,0))/Parameter!$C$57/D32)</f>
        <v>22000</v>
      </c>
      <c r="AR32" s="40" t="n">
        <f aca="false">Parameter!$C$57*D32*(IF(AQ32&lt;=Parameter!$C$18,0,IF(AQ32&lt;=Parameter!$C$19,(Parameter!$C$22*(AQ32-Parameter!$C$18)/10000+Parameter!$C$23)*(AQ32-Parameter!$C$18)/10000,IF(AQ32&lt;=Parameter!$C$20,(Parameter!$C$24*(AQ32-Parameter!$C$19)/10000+Parameter!$C$25)*(AQ32-Parameter!$C$19)/10000+Parameter!$C$26,IF(AQ32&lt;=Parameter!$C$21,0.42*AQ32-Parameter!$C$27,0.45*AQ32-Parameter!$C$28)))))</f>
        <v>5689.60545214547</v>
      </c>
      <c r="AS32" s="40" t="n">
        <f aca="false">AR32+IF(AR32&lt;=(Parameter!$C$30*Parameter!$C$57*D32),0,MIN(Parameter!$C$29*AR32,Parameter!$C$31*(AR32-(Parameter!$C$30*Parameter!$C$57*D32))))+Eingaben!$C$16*AR32</f>
        <v>5689.60545214547</v>
      </c>
      <c r="AT32" s="40" t="n">
        <f aca="false">AI32+AK32-(AS32-J32)+AM32-AN32</f>
        <v>0</v>
      </c>
      <c r="AU32" s="40" t="n">
        <f aca="false">MAX(0,(AU31-AW31)*(1+Parameter!$C$62))</f>
        <v>0</v>
      </c>
      <c r="AV32" s="40" t="n">
        <f aca="false">MAX(0,AV31-AV31*IF(AU31=0,0,AW31/AU31))</f>
        <v>0</v>
      </c>
      <c r="AW32" s="40" t="n">
        <f aca="false">IF(F32=0,0,MIN(AU32,Ansparphase!$BE$57*$CG$5))</f>
        <v>0</v>
      </c>
      <c r="AX32" s="40" t="n">
        <f aca="false">AW32-IF(AU32=0,0,AV32*AW32/AU32)</f>
        <v>0</v>
      </c>
      <c r="AY32" s="40" t="n">
        <f aca="false">MAX(0,AX32*(1-Parameter!$C$37)-Parameter!$C$67)*Parameter!$C$36</f>
        <v>0</v>
      </c>
      <c r="AZ32" s="40" t="n">
        <f aca="false">AW32-AY32</f>
        <v>0</v>
      </c>
      <c r="BA32" s="38" t="n">
        <f aca="false">1/(1+Eingaben!$C$37)^C32</f>
        <v>0.3642430216931</v>
      </c>
      <c r="BB32" s="40" t="n">
        <f aca="false">IF(AND(Eingaben!$C$28=2,F32=0),(Ansparphase!$AW$57+Ansparphase!$AX$57)*Eingaben!$C$29/10000*12*(1+Eingaben!$C$30)^24,0)</f>
        <v>0</v>
      </c>
      <c r="BC32" s="38" t="n">
        <f aca="false">1/(1+Parameter!$C$68)^24</f>
        <v>0.273867500536477</v>
      </c>
    </row>
    <row r="33" customFormat="false" ht="15" hidden="false" customHeight="false" outlineLevel="0" collapsed="false">
      <c r="A33" s="32" t="n">
        <f aca="false">2026+C33</f>
        <v>2078</v>
      </c>
      <c r="B33" s="32" t="n">
        <f aca="false">Eingaben!$C$6+25</f>
        <v>92</v>
      </c>
      <c r="C33" s="32" t="n">
        <f aca="false">B33-Eingaben!$C$5</f>
        <v>52</v>
      </c>
      <c r="D33" s="41" t="n">
        <f aca="false">(1+Eingaben!$C$17)^C33</f>
        <v>2.80032818544818</v>
      </c>
      <c r="E33" s="41" t="n">
        <f aca="false">(1+Eingaben!$C$13)^C33</f>
        <v>3.61111234863853</v>
      </c>
      <c r="F33" s="32" t="n">
        <f aca="false">IF(B33&lt;=Eingaben!$C$7,1,0)</f>
        <v>0</v>
      </c>
      <c r="G33" s="43" t="n">
        <f aca="false">Eingaben!$C$40*(1+Eingaben!$C$37)^C33</f>
        <v>61607.22007986</v>
      </c>
      <c r="H33" s="43" t="n">
        <f aca="false">MAX(0,(G33+IF(Eingaben!$C$14=3,Eingaben!$C$15,0))/Parameter!$C$57/D33)</f>
        <v>22000</v>
      </c>
      <c r="I33" s="43" t="n">
        <f aca="false">Parameter!$C$57*D33*(IF(H33&lt;=Parameter!$C$18,0,IF(H33&lt;=Parameter!$C$19,(Parameter!$C$22*(H33-Parameter!$C$18)/10000+Parameter!$C$23)*(H33-Parameter!$C$18)/10000,IF(H33&lt;=Parameter!$C$20,(Parameter!$C$24*(H33-Parameter!$C$19)/10000+Parameter!$C$25)*(H33-Parameter!$C$19)/10000+Parameter!$C$26,IF(H33&lt;=Parameter!$C$21,0.42*H33-Parameter!$C$27,0.45*H33-Parameter!$C$28)))))</f>
        <v>5803.39756118838</v>
      </c>
      <c r="J33" s="43" t="n">
        <f aca="false">I33+IF(I33&lt;=(Parameter!$C$30*Parameter!$C$57*D33),0,MIN(Parameter!$C$29*I33,Parameter!$C$31*(I33-(Parameter!$C$30*Parameter!$C$57*D33))))+Eingaben!$C$16*I33</f>
        <v>5803.39756118838</v>
      </c>
      <c r="K33" s="43" t="n">
        <f aca="false">IF(Eingaben!$C$28=1,IF(0=1,Ansparphase!$AW$57,0),(Ansparphase!$AW$57+Ansparphase!$AX$57)*Eingaben!$C$29/10000*12*(1+Eingaben!$C$30)^25*F33*IF((Ansparphase!$AW$57+Ansparphase!$AX$57)=0,0,Ansparphase!$AW$57/(Ansparphase!$AW$57+Ansparphase!$AX$57)))</f>
        <v>0</v>
      </c>
      <c r="L33" s="43" t="n">
        <f aca="false">IF(Eingaben!$C$28=1,IF(0=1,Ansparphase!$AX$57,0),(Ansparphase!$AW$57+Ansparphase!$AX$57)*Eingaben!$C$29/10000*12*(1+Eingaben!$C$30)^25*F33*IF((Ansparphase!$AW$57+Ansparphase!$AX$57)=0,0,Ansparphase!$AX$57/(Ansparphase!$AW$57+Ansparphase!$AX$57)))</f>
        <v>0</v>
      </c>
      <c r="M33" s="43" t="n">
        <f aca="false">K33+L33</f>
        <v>0</v>
      </c>
      <c r="N33" s="43" t="n">
        <f aca="false">K33+L33*IF(Eingaben!$C$28=1,(1-IF(Ansparphase!$AX$57=0,1,MIN(1,$CG$8/Ansparphase!$AX$57)))*Parameter!$C$52,Parameter!$C$51)</f>
        <v>0</v>
      </c>
      <c r="O33" s="43" t="n">
        <f aca="false">IF(Eingaben!$C$28=1,IF(25&lt;10,(Ansparphase!$AW$57+Ansparphase!$AX$57)/120,0),M33/12)</f>
        <v>0</v>
      </c>
      <c r="P33" s="43" t="n">
        <f aca="false">Eingaben!$C$41/12*(1+Eingaben!$C$13)^C33</f>
        <v>7222.22469727705</v>
      </c>
      <c r="Q33" s="43" t="n">
        <f aca="false">MAX(0,MIN(O33,Parameter!$C$5/12*E33-P33))</f>
        <v>0</v>
      </c>
      <c r="R33" s="43" t="n">
        <f aca="false">IF(Eingaben!$C$39=2,0,MAX(0,Q33-Parameter!$C$7*E33)*Parameter!$C$54*12)</f>
        <v>0</v>
      </c>
      <c r="S33" s="43" t="n">
        <f aca="false">IF(Eingaben!$C$39=2,0,IF(O33&gt;Parameter!$C$7*E33,Q33*Parameter!$C$59*12,0))</f>
        <v>0</v>
      </c>
      <c r="T33" s="43" t="n">
        <f aca="false">R33+S33</f>
        <v>0</v>
      </c>
      <c r="U33" s="43" t="n">
        <f aca="false">Ansparphase!$BJ$57*Parameter!$C$9*12*(1+Eingaben!$C$13)^(Eingaben!$C$6-Eingaben!$C$5)*(1+Eingaben!$C$13)^25*F33</f>
        <v>0</v>
      </c>
      <c r="V33" s="43" t="n">
        <f aca="false">U33*Parameter!$C$66</f>
        <v>0</v>
      </c>
      <c r="W33" s="43" t="n">
        <f aca="false">IF(Eingaben!$C$39=2,0,U33*(Parameter!$C$53+Parameter!$C$59))</f>
        <v>0</v>
      </c>
      <c r="X33" s="43" t="n">
        <f aca="false">MAX(0,G33-V33+N33-T33+W33)</f>
        <v>61607.22007986</v>
      </c>
      <c r="Y33" s="43" t="n">
        <f aca="false">MAX(0,(X33+IF(Eingaben!$C$14=3,Eingaben!$C$15,0))/Parameter!$C$57/D33)</f>
        <v>22000</v>
      </c>
      <c r="Z33" s="43" t="n">
        <f aca="false">Parameter!$C$57*D33*(IF(Y33&lt;=Parameter!$C$18,0,IF(Y33&lt;=Parameter!$C$19,(Parameter!$C$22*(Y33-Parameter!$C$18)/10000+Parameter!$C$23)*(Y33-Parameter!$C$18)/10000,IF(Y33&lt;=Parameter!$C$20,(Parameter!$C$24*(Y33-Parameter!$C$19)/10000+Parameter!$C$25)*(Y33-Parameter!$C$19)/10000+Parameter!$C$26,IF(Y33&lt;=Parameter!$C$21,0.42*Y33-Parameter!$C$27,0.45*Y33-Parameter!$C$28)))))</f>
        <v>5803.39756118838</v>
      </c>
      <c r="AA33" s="43" t="n">
        <f aca="false">Z33+IF(Z33&lt;=(Parameter!$C$30*Parameter!$C$57*D33),0,MIN(Parameter!$C$29*Z33,Parameter!$C$31*(Z33-(Parameter!$C$30*Parameter!$C$57*D33))))+Eingaben!$C$16*Z33</f>
        <v>5803.39756118838</v>
      </c>
      <c r="AB33" s="43" t="n">
        <f aca="false">MAX(0,G33-V33+N33/5-T33+W33)</f>
        <v>61607.22007986</v>
      </c>
      <c r="AC33" s="43" t="n">
        <f aca="false">MAX(0,(AB33+IF(Eingaben!$C$14=3,Eingaben!$C$15,0))/Parameter!$C$57/D33)</f>
        <v>22000</v>
      </c>
      <c r="AD33" s="43" t="n">
        <f aca="false">Parameter!$C$57*D33*(IF(AC33&lt;=Parameter!$C$18,0,IF(AC33&lt;=Parameter!$C$19,(Parameter!$C$22*(AC33-Parameter!$C$18)/10000+Parameter!$C$23)*(AC33-Parameter!$C$18)/10000,IF(AC33&lt;=Parameter!$C$20,(Parameter!$C$24*(AC33-Parameter!$C$19)/10000+Parameter!$C$25)*(AC33-Parameter!$C$19)/10000+Parameter!$C$26,IF(AC33&lt;=Parameter!$C$21,0.42*AC33-Parameter!$C$27,0.45*AC33-Parameter!$C$28)))))</f>
        <v>5803.39756118838</v>
      </c>
      <c r="AE33" s="43" t="n">
        <f aca="false">AD33+IF(AD33&lt;=(Parameter!$C$30*Parameter!$C$57*D33),0,MIN(Parameter!$C$29*AD33,Parameter!$C$31*(AD33-(Parameter!$C$30*Parameter!$C$57*D33))))+Eingaben!$C$16*AD33</f>
        <v>5803.39756118838</v>
      </c>
      <c r="AF33" s="43" t="n">
        <f aca="false">IF(AND(Eingaben!$C$31=1,Eingaben!$C$28=1,M33&gt;0),MIN(AA33-J33,5*(AE33-J33)),AA33-J33)</f>
        <v>0</v>
      </c>
      <c r="AG33" s="43" t="n">
        <f aca="false">M33-T33-AF33-U33+W33</f>
        <v>0</v>
      </c>
      <c r="AH33" s="43" t="n">
        <f aca="false">MAX(0,(AH32-AI32)*(1+Parameter!$C$61))</f>
        <v>0</v>
      </c>
      <c r="AI33" s="43" t="n">
        <f aca="false">IF(F33=0,0,MIN(AH33,Ansparphase!$AY$57*IF(25=0,Eingaben!$C$42,0)+(Ansparphase!$AY$57*(1-Eingaben!$C$42))*$CG$4))</f>
        <v>0</v>
      </c>
      <c r="AJ33" s="43" t="n">
        <f aca="false">MAX(0,(AJ32-AK32)*(1+Parameter!$C$61))</f>
        <v>0</v>
      </c>
      <c r="AK33" s="43" t="n">
        <f aca="false">IF(F33=0,0,MIN(AJ33,Ansparphase!$AZ$57*IF(25=0,Eingaben!$C$42,0)+(Ansparphase!$AZ$57*(1-Eingaben!$C$42))*$CG$4))</f>
        <v>0</v>
      </c>
      <c r="AL33" s="43" t="n">
        <f aca="false">MAX(0,(AL32-AM32)*(1+Parameter!$C$62))</f>
        <v>0</v>
      </c>
      <c r="AM33" s="43" t="n">
        <f aca="false">IF(F33=0,0,MIN(AL33,Ansparphase!$BA$57*$CG$5))</f>
        <v>0</v>
      </c>
      <c r="AN33" s="43" t="n">
        <f aca="false">MAX(0,AM33*(1-IF(Ansparphase!$BA$57=0,1,MIN(1,Ansparphase!$BB$57/Ansparphase!$BA$57)))*(1-Parameter!$C$37))*Parameter!$C$36</f>
        <v>0</v>
      </c>
      <c r="AO33" s="43" t="n">
        <f aca="false">AI33+AK33*(1-IF(Ansparphase!$AZ$57=0,1,MIN(1,$CG$7/Ansparphase!$AZ$57)))*Parameter!$C$52</f>
        <v>0</v>
      </c>
      <c r="AP33" s="43" t="n">
        <f aca="false">MAX(0,G33+AO33)</f>
        <v>61607.22007986</v>
      </c>
      <c r="AQ33" s="43" t="n">
        <f aca="false">MAX(0,(AP33+IF(Eingaben!$C$14=3,Eingaben!$C$15,0))/Parameter!$C$57/D33)</f>
        <v>22000</v>
      </c>
      <c r="AR33" s="43" t="n">
        <f aca="false">Parameter!$C$57*D33*(IF(AQ33&lt;=Parameter!$C$18,0,IF(AQ33&lt;=Parameter!$C$19,(Parameter!$C$22*(AQ33-Parameter!$C$18)/10000+Parameter!$C$23)*(AQ33-Parameter!$C$18)/10000,IF(AQ33&lt;=Parameter!$C$20,(Parameter!$C$24*(AQ33-Parameter!$C$19)/10000+Parameter!$C$25)*(AQ33-Parameter!$C$19)/10000+Parameter!$C$26,IF(AQ33&lt;=Parameter!$C$21,0.42*AQ33-Parameter!$C$27,0.45*AQ33-Parameter!$C$28)))))</f>
        <v>5803.39756118838</v>
      </c>
      <c r="AS33" s="43" t="n">
        <f aca="false">AR33+IF(AR33&lt;=(Parameter!$C$30*Parameter!$C$57*D33),0,MIN(Parameter!$C$29*AR33,Parameter!$C$31*(AR33-(Parameter!$C$30*Parameter!$C$57*D33))))+Eingaben!$C$16*AR33</f>
        <v>5803.39756118838</v>
      </c>
      <c r="AT33" s="43" t="n">
        <f aca="false">AI33+AK33-(AS33-J33)+AM33-AN33</f>
        <v>0</v>
      </c>
      <c r="AU33" s="43" t="n">
        <f aca="false">MAX(0,(AU32-AW32)*(1+Parameter!$C$62))</f>
        <v>0</v>
      </c>
      <c r="AV33" s="43" t="n">
        <f aca="false">MAX(0,AV32-AV32*IF(AU32=0,0,AW32/AU32))</f>
        <v>0</v>
      </c>
      <c r="AW33" s="43" t="n">
        <f aca="false">IF(F33=0,0,MIN(AU33,Ansparphase!$BE$57*$CG$5))</f>
        <v>0</v>
      </c>
      <c r="AX33" s="43" t="n">
        <f aca="false">AW33-IF(AU33=0,0,AV33*AW33/AU33)</f>
        <v>0</v>
      </c>
      <c r="AY33" s="43" t="n">
        <f aca="false">MAX(0,AX33*(1-Parameter!$C$37)-Parameter!$C$67)*Parameter!$C$36</f>
        <v>0</v>
      </c>
      <c r="AZ33" s="43" t="n">
        <f aca="false">AW33-AY33</f>
        <v>0</v>
      </c>
      <c r="BA33" s="41" t="n">
        <f aca="false">1/(1+Eingaben!$C$37)^C33</f>
        <v>0.357101001659902</v>
      </c>
      <c r="BB33" s="43" t="n">
        <f aca="false">IF(AND(Eingaben!$C$28=2,F33=0),(Ansparphase!$AW$57+Ansparphase!$AX$57)*Eingaben!$C$29/10000*12*(1+Eingaben!$C$30)^25,0)</f>
        <v>0</v>
      </c>
      <c r="BC33" s="41" t="n">
        <f aca="false">1/(1+Parameter!$C$68)^25</f>
        <v>0.259480475814693</v>
      </c>
    </row>
    <row r="34" customFormat="false" ht="15" hidden="false" customHeight="false" outlineLevel="0" collapsed="false">
      <c r="A34" s="30" t="n">
        <f aca="false">2026+C34</f>
        <v>2079</v>
      </c>
      <c r="B34" s="30" t="n">
        <f aca="false">Eingaben!$C$6+26</f>
        <v>93</v>
      </c>
      <c r="C34" s="30" t="n">
        <f aca="false">B34-Eingaben!$C$5</f>
        <v>53</v>
      </c>
      <c r="D34" s="38" t="n">
        <f aca="false">(1+Eingaben!$C$17)^C34</f>
        <v>2.85633474915715</v>
      </c>
      <c r="E34" s="38" t="n">
        <f aca="false">(1+Eingaben!$C$13)^C34</f>
        <v>3.70139015735449</v>
      </c>
      <c r="F34" s="30" t="n">
        <f aca="false">IF(B34&lt;=Eingaben!$C$7,1,0)</f>
        <v>0</v>
      </c>
      <c r="G34" s="40" t="n">
        <f aca="false">Eingaben!$C$40*(1+Eingaben!$C$37)^C34</f>
        <v>62839.3644814572</v>
      </c>
      <c r="H34" s="40" t="n">
        <f aca="false">MAX(0,(G34+IF(Eingaben!$C$14=3,Eingaben!$C$15,0))/Parameter!$C$57/D34)</f>
        <v>22000</v>
      </c>
      <c r="I34" s="40" t="n">
        <f aca="false">Parameter!$C$57*D34*(IF(H34&lt;=Parameter!$C$18,0,IF(H34&lt;=Parameter!$C$19,(Parameter!$C$22*(H34-Parameter!$C$18)/10000+Parameter!$C$23)*(H34-Parameter!$C$18)/10000,IF(H34&lt;=Parameter!$C$20,(Parameter!$C$24*(H34-Parameter!$C$19)/10000+Parameter!$C$25)*(H34-Parameter!$C$19)/10000+Parameter!$C$26,IF(H34&lt;=Parameter!$C$21,0.42*H34-Parameter!$C$27,0.45*H34-Parameter!$C$28)))))</f>
        <v>5919.46551241215</v>
      </c>
      <c r="J34" s="40" t="n">
        <f aca="false">I34+IF(I34&lt;=(Parameter!$C$30*Parameter!$C$57*D34),0,MIN(Parameter!$C$29*I34,Parameter!$C$31*(I34-(Parameter!$C$30*Parameter!$C$57*D34))))+Eingaben!$C$16*I34</f>
        <v>5919.46551241215</v>
      </c>
      <c r="K34" s="40" t="n">
        <f aca="false">IF(Eingaben!$C$28=1,IF(0=1,Ansparphase!$AW$57,0),(Ansparphase!$AW$57+Ansparphase!$AX$57)*Eingaben!$C$29/10000*12*(1+Eingaben!$C$30)^26*F34*IF((Ansparphase!$AW$57+Ansparphase!$AX$57)=0,0,Ansparphase!$AW$57/(Ansparphase!$AW$57+Ansparphase!$AX$57)))</f>
        <v>0</v>
      </c>
      <c r="L34" s="40" t="n">
        <f aca="false">IF(Eingaben!$C$28=1,IF(0=1,Ansparphase!$AX$57,0),(Ansparphase!$AW$57+Ansparphase!$AX$57)*Eingaben!$C$29/10000*12*(1+Eingaben!$C$30)^26*F34*IF((Ansparphase!$AW$57+Ansparphase!$AX$57)=0,0,Ansparphase!$AX$57/(Ansparphase!$AW$57+Ansparphase!$AX$57)))</f>
        <v>0</v>
      </c>
      <c r="M34" s="40" t="n">
        <f aca="false">K34+L34</f>
        <v>0</v>
      </c>
      <c r="N34" s="40" t="n">
        <f aca="false">K34+L34*IF(Eingaben!$C$28=1,(1-IF(Ansparphase!$AX$57=0,1,MIN(1,$CG$8/Ansparphase!$AX$57)))*Parameter!$C$52,Parameter!$C$51)</f>
        <v>0</v>
      </c>
      <c r="O34" s="40" t="n">
        <f aca="false">IF(Eingaben!$C$28=1,IF(26&lt;10,(Ansparphase!$AW$57+Ansparphase!$AX$57)/120,0),M34/12)</f>
        <v>0</v>
      </c>
      <c r="P34" s="40" t="n">
        <f aca="false">Eingaben!$C$41/12*(1+Eingaben!$C$13)^C34</f>
        <v>7402.78031470898</v>
      </c>
      <c r="Q34" s="40" t="n">
        <f aca="false">MAX(0,MIN(O34,Parameter!$C$5/12*E34-P34))</f>
        <v>0</v>
      </c>
      <c r="R34" s="40" t="n">
        <f aca="false">IF(Eingaben!$C$39=2,0,MAX(0,Q34-Parameter!$C$7*E34)*Parameter!$C$54*12)</f>
        <v>0</v>
      </c>
      <c r="S34" s="40" t="n">
        <f aca="false">IF(Eingaben!$C$39=2,0,IF(O34&gt;Parameter!$C$7*E34,Q34*Parameter!$C$59*12,0))</f>
        <v>0</v>
      </c>
      <c r="T34" s="40" t="n">
        <f aca="false">R34+S34</f>
        <v>0</v>
      </c>
      <c r="U34" s="40" t="n">
        <f aca="false">Ansparphase!$BJ$57*Parameter!$C$9*12*(1+Eingaben!$C$13)^(Eingaben!$C$6-Eingaben!$C$5)*(1+Eingaben!$C$13)^26*F34</f>
        <v>0</v>
      </c>
      <c r="V34" s="40" t="n">
        <f aca="false">U34*Parameter!$C$66</f>
        <v>0</v>
      </c>
      <c r="W34" s="40" t="n">
        <f aca="false">IF(Eingaben!$C$39=2,0,U34*(Parameter!$C$53+Parameter!$C$59))</f>
        <v>0</v>
      </c>
      <c r="X34" s="40" t="n">
        <f aca="false">MAX(0,G34-V34+N34-T34+W34)</f>
        <v>62839.3644814572</v>
      </c>
      <c r="Y34" s="40" t="n">
        <f aca="false">MAX(0,(X34+IF(Eingaben!$C$14=3,Eingaben!$C$15,0))/Parameter!$C$57/D34)</f>
        <v>22000</v>
      </c>
      <c r="Z34" s="40" t="n">
        <f aca="false">Parameter!$C$57*D34*(IF(Y34&lt;=Parameter!$C$18,0,IF(Y34&lt;=Parameter!$C$19,(Parameter!$C$22*(Y34-Parameter!$C$18)/10000+Parameter!$C$23)*(Y34-Parameter!$C$18)/10000,IF(Y34&lt;=Parameter!$C$20,(Parameter!$C$24*(Y34-Parameter!$C$19)/10000+Parameter!$C$25)*(Y34-Parameter!$C$19)/10000+Parameter!$C$26,IF(Y34&lt;=Parameter!$C$21,0.42*Y34-Parameter!$C$27,0.45*Y34-Parameter!$C$28)))))</f>
        <v>5919.46551241215</v>
      </c>
      <c r="AA34" s="40" t="n">
        <f aca="false">Z34+IF(Z34&lt;=(Parameter!$C$30*Parameter!$C$57*D34),0,MIN(Parameter!$C$29*Z34,Parameter!$C$31*(Z34-(Parameter!$C$30*Parameter!$C$57*D34))))+Eingaben!$C$16*Z34</f>
        <v>5919.46551241215</v>
      </c>
      <c r="AB34" s="40" t="n">
        <f aca="false">MAX(0,G34-V34+N34/5-T34+W34)</f>
        <v>62839.3644814572</v>
      </c>
      <c r="AC34" s="40" t="n">
        <f aca="false">MAX(0,(AB34+IF(Eingaben!$C$14=3,Eingaben!$C$15,0))/Parameter!$C$57/D34)</f>
        <v>22000</v>
      </c>
      <c r="AD34" s="40" t="n">
        <f aca="false">Parameter!$C$57*D34*(IF(AC34&lt;=Parameter!$C$18,0,IF(AC34&lt;=Parameter!$C$19,(Parameter!$C$22*(AC34-Parameter!$C$18)/10000+Parameter!$C$23)*(AC34-Parameter!$C$18)/10000,IF(AC34&lt;=Parameter!$C$20,(Parameter!$C$24*(AC34-Parameter!$C$19)/10000+Parameter!$C$25)*(AC34-Parameter!$C$19)/10000+Parameter!$C$26,IF(AC34&lt;=Parameter!$C$21,0.42*AC34-Parameter!$C$27,0.45*AC34-Parameter!$C$28)))))</f>
        <v>5919.46551241215</v>
      </c>
      <c r="AE34" s="40" t="n">
        <f aca="false">AD34+IF(AD34&lt;=(Parameter!$C$30*Parameter!$C$57*D34),0,MIN(Parameter!$C$29*AD34,Parameter!$C$31*(AD34-(Parameter!$C$30*Parameter!$C$57*D34))))+Eingaben!$C$16*AD34</f>
        <v>5919.46551241215</v>
      </c>
      <c r="AF34" s="40" t="n">
        <f aca="false">IF(AND(Eingaben!$C$31=1,Eingaben!$C$28=1,M34&gt;0),MIN(AA34-J34,5*(AE34-J34)),AA34-J34)</f>
        <v>0</v>
      </c>
      <c r="AG34" s="40" t="n">
        <f aca="false">M34-T34-AF34-U34+W34</f>
        <v>0</v>
      </c>
      <c r="AH34" s="40" t="n">
        <f aca="false">MAX(0,(AH33-AI33)*(1+Parameter!$C$61))</f>
        <v>0</v>
      </c>
      <c r="AI34" s="40" t="n">
        <f aca="false">IF(F34=0,0,MIN(AH34,Ansparphase!$AY$57*IF(26=0,Eingaben!$C$42,0)+(Ansparphase!$AY$57*(1-Eingaben!$C$42))*$CG$4))</f>
        <v>0</v>
      </c>
      <c r="AJ34" s="40" t="n">
        <f aca="false">MAX(0,(AJ33-AK33)*(1+Parameter!$C$61))</f>
        <v>0</v>
      </c>
      <c r="AK34" s="40" t="n">
        <f aca="false">IF(F34=0,0,MIN(AJ34,Ansparphase!$AZ$57*IF(26=0,Eingaben!$C$42,0)+(Ansparphase!$AZ$57*(1-Eingaben!$C$42))*$CG$4))</f>
        <v>0</v>
      </c>
      <c r="AL34" s="40" t="n">
        <f aca="false">MAX(0,(AL33-AM33)*(1+Parameter!$C$62))</f>
        <v>0</v>
      </c>
      <c r="AM34" s="40" t="n">
        <f aca="false">IF(F34=0,0,MIN(AL34,Ansparphase!$BA$57*$CG$5))</f>
        <v>0</v>
      </c>
      <c r="AN34" s="40" t="n">
        <f aca="false">MAX(0,AM34*(1-IF(Ansparphase!$BA$57=0,1,MIN(1,Ansparphase!$BB$57/Ansparphase!$BA$57)))*(1-Parameter!$C$37))*Parameter!$C$36</f>
        <v>0</v>
      </c>
      <c r="AO34" s="40" t="n">
        <f aca="false">AI34+AK34*(1-IF(Ansparphase!$AZ$57=0,1,MIN(1,$CG$7/Ansparphase!$AZ$57)))*Parameter!$C$52</f>
        <v>0</v>
      </c>
      <c r="AP34" s="40" t="n">
        <f aca="false">MAX(0,G34+AO34)</f>
        <v>62839.3644814572</v>
      </c>
      <c r="AQ34" s="40" t="n">
        <f aca="false">MAX(0,(AP34+IF(Eingaben!$C$14=3,Eingaben!$C$15,0))/Parameter!$C$57/D34)</f>
        <v>22000</v>
      </c>
      <c r="AR34" s="40" t="n">
        <f aca="false">Parameter!$C$57*D34*(IF(AQ34&lt;=Parameter!$C$18,0,IF(AQ34&lt;=Parameter!$C$19,(Parameter!$C$22*(AQ34-Parameter!$C$18)/10000+Parameter!$C$23)*(AQ34-Parameter!$C$18)/10000,IF(AQ34&lt;=Parameter!$C$20,(Parameter!$C$24*(AQ34-Parameter!$C$19)/10000+Parameter!$C$25)*(AQ34-Parameter!$C$19)/10000+Parameter!$C$26,IF(AQ34&lt;=Parameter!$C$21,0.42*AQ34-Parameter!$C$27,0.45*AQ34-Parameter!$C$28)))))</f>
        <v>5919.46551241215</v>
      </c>
      <c r="AS34" s="40" t="n">
        <f aca="false">AR34+IF(AR34&lt;=(Parameter!$C$30*Parameter!$C$57*D34),0,MIN(Parameter!$C$29*AR34,Parameter!$C$31*(AR34-(Parameter!$C$30*Parameter!$C$57*D34))))+Eingaben!$C$16*AR34</f>
        <v>5919.46551241215</v>
      </c>
      <c r="AT34" s="40" t="n">
        <f aca="false">AI34+AK34-(AS34-J34)+AM34-AN34</f>
        <v>0</v>
      </c>
      <c r="AU34" s="40" t="n">
        <f aca="false">MAX(0,(AU33-AW33)*(1+Parameter!$C$62))</f>
        <v>0</v>
      </c>
      <c r="AV34" s="40" t="n">
        <f aca="false">MAX(0,AV33-AV33*IF(AU33=0,0,AW33/AU33))</f>
        <v>0</v>
      </c>
      <c r="AW34" s="40" t="n">
        <f aca="false">IF(F34=0,0,MIN(AU34,Ansparphase!$BE$57*$CG$5))</f>
        <v>0</v>
      </c>
      <c r="AX34" s="40" t="n">
        <f aca="false">AW34-IF(AU34=0,0,AV34*AW34/AU34)</f>
        <v>0</v>
      </c>
      <c r="AY34" s="40" t="n">
        <f aca="false">MAX(0,AX34*(1-Parameter!$C$37)-Parameter!$C$67)*Parameter!$C$36</f>
        <v>0</v>
      </c>
      <c r="AZ34" s="40" t="n">
        <f aca="false">AW34-AY34</f>
        <v>0</v>
      </c>
      <c r="BA34" s="38" t="n">
        <f aca="false">1/(1+Eingaben!$C$37)^C34</f>
        <v>0.350099021235198</v>
      </c>
      <c r="BB34" s="40" t="n">
        <f aca="false">IF(AND(Eingaben!$C$28=2,F34=0),(Ansparphase!$AW$57+Ansparphase!$AX$57)*Eingaben!$C$29/10000*12*(1+Eingaben!$C$30)^26,0)</f>
        <v>0</v>
      </c>
      <c r="BC34" s="38" t="n">
        <f aca="false">1/(1+Parameter!$C$68)^26</f>
        <v>0.245849241684855</v>
      </c>
    </row>
    <row r="35" customFormat="false" ht="15" hidden="false" customHeight="false" outlineLevel="0" collapsed="false">
      <c r="A35" s="32" t="n">
        <f aca="false">2026+C35</f>
        <v>2080</v>
      </c>
      <c r="B35" s="32" t="n">
        <f aca="false">Eingaben!$C$6+27</f>
        <v>94</v>
      </c>
      <c r="C35" s="32" t="n">
        <f aca="false">B35-Eingaben!$C$5</f>
        <v>54</v>
      </c>
      <c r="D35" s="41" t="n">
        <f aca="false">(1+Eingaben!$C$17)^C35</f>
        <v>2.91346144414029</v>
      </c>
      <c r="E35" s="41" t="n">
        <f aca="false">(1+Eingaben!$C$13)^C35</f>
        <v>3.79392491128835</v>
      </c>
      <c r="F35" s="32" t="n">
        <f aca="false">IF(B35&lt;=Eingaben!$C$7,1,0)</f>
        <v>0</v>
      </c>
      <c r="G35" s="43" t="n">
        <f aca="false">Eingaben!$C$40*(1+Eingaben!$C$37)^C35</f>
        <v>64096.1517710864</v>
      </c>
      <c r="H35" s="43" t="n">
        <f aca="false">MAX(0,(G35+IF(Eingaben!$C$14=3,Eingaben!$C$15,0))/Parameter!$C$57/D35)</f>
        <v>22000</v>
      </c>
      <c r="I35" s="43" t="n">
        <f aca="false">Parameter!$C$57*D35*(IF(H35&lt;=Parameter!$C$18,0,IF(H35&lt;=Parameter!$C$19,(Parameter!$C$22*(H35-Parameter!$C$18)/10000+Parameter!$C$23)*(H35-Parameter!$C$18)/10000,IF(H35&lt;=Parameter!$C$20,(Parameter!$C$24*(H35-Parameter!$C$19)/10000+Parameter!$C$25)*(H35-Parameter!$C$19)/10000+Parameter!$C$26,IF(H35&lt;=Parameter!$C$21,0.42*H35-Parameter!$C$27,0.45*H35-Parameter!$C$28)))))</f>
        <v>6037.85482266039</v>
      </c>
      <c r="J35" s="43" t="n">
        <f aca="false">I35+IF(I35&lt;=(Parameter!$C$30*Parameter!$C$57*D35),0,MIN(Parameter!$C$29*I35,Parameter!$C$31*(I35-(Parameter!$C$30*Parameter!$C$57*D35))))+Eingaben!$C$16*I35</f>
        <v>6037.85482266039</v>
      </c>
      <c r="K35" s="43" t="n">
        <f aca="false">IF(Eingaben!$C$28=1,IF(0=1,Ansparphase!$AW$57,0),(Ansparphase!$AW$57+Ansparphase!$AX$57)*Eingaben!$C$29/10000*12*(1+Eingaben!$C$30)^27*F35*IF((Ansparphase!$AW$57+Ansparphase!$AX$57)=0,0,Ansparphase!$AW$57/(Ansparphase!$AW$57+Ansparphase!$AX$57)))</f>
        <v>0</v>
      </c>
      <c r="L35" s="43" t="n">
        <f aca="false">IF(Eingaben!$C$28=1,IF(0=1,Ansparphase!$AX$57,0),(Ansparphase!$AW$57+Ansparphase!$AX$57)*Eingaben!$C$29/10000*12*(1+Eingaben!$C$30)^27*F35*IF((Ansparphase!$AW$57+Ansparphase!$AX$57)=0,0,Ansparphase!$AX$57/(Ansparphase!$AW$57+Ansparphase!$AX$57)))</f>
        <v>0</v>
      </c>
      <c r="M35" s="43" t="n">
        <f aca="false">K35+L35</f>
        <v>0</v>
      </c>
      <c r="N35" s="43" t="n">
        <f aca="false">K35+L35*IF(Eingaben!$C$28=1,(1-IF(Ansparphase!$AX$57=0,1,MIN(1,$CG$8/Ansparphase!$AX$57)))*Parameter!$C$52,Parameter!$C$51)</f>
        <v>0</v>
      </c>
      <c r="O35" s="43" t="n">
        <f aca="false">IF(Eingaben!$C$28=1,IF(27&lt;10,(Ansparphase!$AW$57+Ansparphase!$AX$57)/120,0),M35/12)</f>
        <v>0</v>
      </c>
      <c r="P35" s="43" t="n">
        <f aca="false">Eingaben!$C$41/12*(1+Eingaben!$C$13)^C35</f>
        <v>7587.8498225767</v>
      </c>
      <c r="Q35" s="43" t="n">
        <f aca="false">MAX(0,MIN(O35,Parameter!$C$5/12*E35-P35))</f>
        <v>0</v>
      </c>
      <c r="R35" s="43" t="n">
        <f aca="false">IF(Eingaben!$C$39=2,0,MAX(0,Q35-Parameter!$C$7*E35)*Parameter!$C$54*12)</f>
        <v>0</v>
      </c>
      <c r="S35" s="43" t="n">
        <f aca="false">IF(Eingaben!$C$39=2,0,IF(O35&gt;Parameter!$C$7*E35,Q35*Parameter!$C$59*12,0))</f>
        <v>0</v>
      </c>
      <c r="T35" s="43" t="n">
        <f aca="false">R35+S35</f>
        <v>0</v>
      </c>
      <c r="U35" s="43" t="n">
        <f aca="false">Ansparphase!$BJ$57*Parameter!$C$9*12*(1+Eingaben!$C$13)^(Eingaben!$C$6-Eingaben!$C$5)*(1+Eingaben!$C$13)^27*F35</f>
        <v>0</v>
      </c>
      <c r="V35" s="43" t="n">
        <f aca="false">U35*Parameter!$C$66</f>
        <v>0</v>
      </c>
      <c r="W35" s="43" t="n">
        <f aca="false">IF(Eingaben!$C$39=2,0,U35*(Parameter!$C$53+Parameter!$C$59))</f>
        <v>0</v>
      </c>
      <c r="X35" s="43" t="n">
        <f aca="false">MAX(0,G35-V35+N35-T35+W35)</f>
        <v>64096.1517710864</v>
      </c>
      <c r="Y35" s="43" t="n">
        <f aca="false">MAX(0,(X35+IF(Eingaben!$C$14=3,Eingaben!$C$15,0))/Parameter!$C$57/D35)</f>
        <v>22000</v>
      </c>
      <c r="Z35" s="43" t="n">
        <f aca="false">Parameter!$C$57*D35*(IF(Y35&lt;=Parameter!$C$18,0,IF(Y35&lt;=Parameter!$C$19,(Parameter!$C$22*(Y35-Parameter!$C$18)/10000+Parameter!$C$23)*(Y35-Parameter!$C$18)/10000,IF(Y35&lt;=Parameter!$C$20,(Parameter!$C$24*(Y35-Parameter!$C$19)/10000+Parameter!$C$25)*(Y35-Parameter!$C$19)/10000+Parameter!$C$26,IF(Y35&lt;=Parameter!$C$21,0.42*Y35-Parameter!$C$27,0.45*Y35-Parameter!$C$28)))))</f>
        <v>6037.85482266039</v>
      </c>
      <c r="AA35" s="43" t="n">
        <f aca="false">Z35+IF(Z35&lt;=(Parameter!$C$30*Parameter!$C$57*D35),0,MIN(Parameter!$C$29*Z35,Parameter!$C$31*(Z35-(Parameter!$C$30*Parameter!$C$57*D35))))+Eingaben!$C$16*Z35</f>
        <v>6037.85482266039</v>
      </c>
      <c r="AB35" s="43" t="n">
        <f aca="false">MAX(0,G35-V35+N35/5-T35+W35)</f>
        <v>64096.1517710864</v>
      </c>
      <c r="AC35" s="43" t="n">
        <f aca="false">MAX(0,(AB35+IF(Eingaben!$C$14=3,Eingaben!$C$15,0))/Parameter!$C$57/D35)</f>
        <v>22000</v>
      </c>
      <c r="AD35" s="43" t="n">
        <f aca="false">Parameter!$C$57*D35*(IF(AC35&lt;=Parameter!$C$18,0,IF(AC35&lt;=Parameter!$C$19,(Parameter!$C$22*(AC35-Parameter!$C$18)/10000+Parameter!$C$23)*(AC35-Parameter!$C$18)/10000,IF(AC35&lt;=Parameter!$C$20,(Parameter!$C$24*(AC35-Parameter!$C$19)/10000+Parameter!$C$25)*(AC35-Parameter!$C$19)/10000+Parameter!$C$26,IF(AC35&lt;=Parameter!$C$21,0.42*AC35-Parameter!$C$27,0.45*AC35-Parameter!$C$28)))))</f>
        <v>6037.85482266039</v>
      </c>
      <c r="AE35" s="43" t="n">
        <f aca="false">AD35+IF(AD35&lt;=(Parameter!$C$30*Parameter!$C$57*D35),0,MIN(Parameter!$C$29*AD35,Parameter!$C$31*(AD35-(Parameter!$C$30*Parameter!$C$57*D35))))+Eingaben!$C$16*AD35</f>
        <v>6037.85482266039</v>
      </c>
      <c r="AF35" s="43" t="n">
        <f aca="false">IF(AND(Eingaben!$C$31=1,Eingaben!$C$28=1,M35&gt;0),MIN(AA35-J35,5*(AE35-J35)),AA35-J35)</f>
        <v>0</v>
      </c>
      <c r="AG35" s="43" t="n">
        <f aca="false">M35-T35-AF35-U35+W35</f>
        <v>0</v>
      </c>
      <c r="AH35" s="43" t="n">
        <f aca="false">MAX(0,(AH34-AI34)*(1+Parameter!$C$61))</f>
        <v>0</v>
      </c>
      <c r="AI35" s="43" t="n">
        <f aca="false">IF(F35=0,0,MIN(AH35,Ansparphase!$AY$57*IF(27=0,Eingaben!$C$42,0)+(Ansparphase!$AY$57*(1-Eingaben!$C$42))*$CG$4))</f>
        <v>0</v>
      </c>
      <c r="AJ35" s="43" t="n">
        <f aca="false">MAX(0,(AJ34-AK34)*(1+Parameter!$C$61))</f>
        <v>0</v>
      </c>
      <c r="AK35" s="43" t="n">
        <f aca="false">IF(F35=0,0,MIN(AJ35,Ansparphase!$AZ$57*IF(27=0,Eingaben!$C$42,0)+(Ansparphase!$AZ$57*(1-Eingaben!$C$42))*$CG$4))</f>
        <v>0</v>
      </c>
      <c r="AL35" s="43" t="n">
        <f aca="false">MAX(0,(AL34-AM34)*(1+Parameter!$C$62))</f>
        <v>0</v>
      </c>
      <c r="AM35" s="43" t="n">
        <f aca="false">IF(F35=0,0,MIN(AL35,Ansparphase!$BA$57*$CG$5))</f>
        <v>0</v>
      </c>
      <c r="AN35" s="43" t="n">
        <f aca="false">MAX(0,AM35*(1-IF(Ansparphase!$BA$57=0,1,MIN(1,Ansparphase!$BB$57/Ansparphase!$BA$57)))*(1-Parameter!$C$37))*Parameter!$C$36</f>
        <v>0</v>
      </c>
      <c r="AO35" s="43" t="n">
        <f aca="false">AI35+AK35*(1-IF(Ansparphase!$AZ$57=0,1,MIN(1,$CG$7/Ansparphase!$AZ$57)))*Parameter!$C$52</f>
        <v>0</v>
      </c>
      <c r="AP35" s="43" t="n">
        <f aca="false">MAX(0,G35+AO35)</f>
        <v>64096.1517710864</v>
      </c>
      <c r="AQ35" s="43" t="n">
        <f aca="false">MAX(0,(AP35+IF(Eingaben!$C$14=3,Eingaben!$C$15,0))/Parameter!$C$57/D35)</f>
        <v>22000</v>
      </c>
      <c r="AR35" s="43" t="n">
        <f aca="false">Parameter!$C$57*D35*(IF(AQ35&lt;=Parameter!$C$18,0,IF(AQ35&lt;=Parameter!$C$19,(Parameter!$C$22*(AQ35-Parameter!$C$18)/10000+Parameter!$C$23)*(AQ35-Parameter!$C$18)/10000,IF(AQ35&lt;=Parameter!$C$20,(Parameter!$C$24*(AQ35-Parameter!$C$19)/10000+Parameter!$C$25)*(AQ35-Parameter!$C$19)/10000+Parameter!$C$26,IF(AQ35&lt;=Parameter!$C$21,0.42*AQ35-Parameter!$C$27,0.45*AQ35-Parameter!$C$28)))))</f>
        <v>6037.85482266039</v>
      </c>
      <c r="AS35" s="43" t="n">
        <f aca="false">AR35+IF(AR35&lt;=(Parameter!$C$30*Parameter!$C$57*D35),0,MIN(Parameter!$C$29*AR35,Parameter!$C$31*(AR35-(Parameter!$C$30*Parameter!$C$57*D35))))+Eingaben!$C$16*AR35</f>
        <v>6037.85482266039</v>
      </c>
      <c r="AT35" s="43" t="n">
        <f aca="false">AI35+AK35-(AS35-J35)+AM35-AN35</f>
        <v>0</v>
      </c>
      <c r="AU35" s="43" t="n">
        <f aca="false">MAX(0,(AU34-AW34)*(1+Parameter!$C$62))</f>
        <v>0</v>
      </c>
      <c r="AV35" s="43" t="n">
        <f aca="false">MAX(0,AV34-AV34*IF(AU34=0,0,AW34/AU34))</f>
        <v>0</v>
      </c>
      <c r="AW35" s="43" t="n">
        <f aca="false">IF(F35=0,0,MIN(AU35,Ansparphase!$BE$57*$CG$5))</f>
        <v>0</v>
      </c>
      <c r="AX35" s="43" t="n">
        <f aca="false">AW35-IF(AU35=0,0,AV35*AW35/AU35)</f>
        <v>0</v>
      </c>
      <c r="AY35" s="43" t="n">
        <f aca="false">MAX(0,AX35*(1-Parameter!$C$37)-Parameter!$C$67)*Parameter!$C$36</f>
        <v>0</v>
      </c>
      <c r="AZ35" s="43" t="n">
        <f aca="false">AW35-AY35</f>
        <v>0</v>
      </c>
      <c r="BA35" s="41" t="n">
        <f aca="false">1/(1+Eingaben!$C$37)^C35</f>
        <v>0.343234334544311</v>
      </c>
      <c r="BB35" s="43" t="n">
        <f aca="false">IF(AND(Eingaben!$C$28=2,F35=0),(Ansparphase!$AW$57+Ansparphase!$AX$57)*Eingaben!$C$29/10000*12*(1+Eingaben!$C$30)^27,0)</f>
        <v>0</v>
      </c>
      <c r="BC35" s="41" t="n">
        <f aca="false">1/(1+Parameter!$C$68)^27</f>
        <v>0.232934094356227</v>
      </c>
    </row>
    <row r="36" customFormat="false" ht="15" hidden="false" customHeight="false" outlineLevel="0" collapsed="false">
      <c r="A36" s="30" t="n">
        <f aca="false">2026+C36</f>
        <v>2081</v>
      </c>
      <c r="B36" s="30" t="n">
        <f aca="false">Eingaben!$C$6+28</f>
        <v>95</v>
      </c>
      <c r="C36" s="30" t="n">
        <f aca="false">B36-Eingaben!$C$5</f>
        <v>55</v>
      </c>
      <c r="D36" s="38" t="n">
        <f aca="false">(1+Eingaben!$C$17)^C36</f>
        <v>2.97173067302309</v>
      </c>
      <c r="E36" s="38" t="n">
        <f aca="false">(1+Eingaben!$C$13)^C36</f>
        <v>3.88877303407056</v>
      </c>
      <c r="F36" s="30" t="n">
        <f aca="false">IF(B36&lt;=Eingaben!$C$7,1,0)</f>
        <v>0</v>
      </c>
      <c r="G36" s="40" t="n">
        <f aca="false">Eingaben!$C$40*(1+Eingaben!$C$37)^C36</f>
        <v>65378.0748065081</v>
      </c>
      <c r="H36" s="40" t="n">
        <f aca="false">MAX(0,(G36+IF(Eingaben!$C$14=3,Eingaben!$C$15,0))/Parameter!$C$57/D36)</f>
        <v>22000</v>
      </c>
      <c r="I36" s="40" t="n">
        <f aca="false">Parameter!$C$57*D36*(IF(H36&lt;=Parameter!$C$18,0,IF(H36&lt;=Parameter!$C$19,(Parameter!$C$22*(H36-Parameter!$C$18)/10000+Parameter!$C$23)*(H36-Parameter!$C$18)/10000,IF(H36&lt;=Parameter!$C$20,(Parameter!$C$24*(H36-Parameter!$C$19)/10000+Parameter!$C$25)*(H36-Parameter!$C$19)/10000+Parameter!$C$26,IF(H36&lt;=Parameter!$C$21,0.42*H36-Parameter!$C$27,0.45*H36-Parameter!$C$28)))))</f>
        <v>6158.6119191136</v>
      </c>
      <c r="J36" s="40" t="n">
        <f aca="false">I36+IF(I36&lt;=(Parameter!$C$30*Parameter!$C$57*D36),0,MIN(Parameter!$C$29*I36,Parameter!$C$31*(I36-(Parameter!$C$30*Parameter!$C$57*D36))))+Eingaben!$C$16*I36</f>
        <v>6158.6119191136</v>
      </c>
      <c r="K36" s="40" t="n">
        <f aca="false">IF(Eingaben!$C$28=1,IF(0=1,Ansparphase!$AW$57,0),(Ansparphase!$AW$57+Ansparphase!$AX$57)*Eingaben!$C$29/10000*12*(1+Eingaben!$C$30)^28*F36*IF((Ansparphase!$AW$57+Ansparphase!$AX$57)=0,0,Ansparphase!$AW$57/(Ansparphase!$AW$57+Ansparphase!$AX$57)))</f>
        <v>0</v>
      </c>
      <c r="L36" s="40" t="n">
        <f aca="false">IF(Eingaben!$C$28=1,IF(0=1,Ansparphase!$AX$57,0),(Ansparphase!$AW$57+Ansparphase!$AX$57)*Eingaben!$C$29/10000*12*(1+Eingaben!$C$30)^28*F36*IF((Ansparphase!$AW$57+Ansparphase!$AX$57)=0,0,Ansparphase!$AX$57/(Ansparphase!$AW$57+Ansparphase!$AX$57)))</f>
        <v>0</v>
      </c>
      <c r="M36" s="40" t="n">
        <f aca="false">K36+L36</f>
        <v>0</v>
      </c>
      <c r="N36" s="40" t="n">
        <f aca="false">K36+L36*IF(Eingaben!$C$28=1,(1-IF(Ansparphase!$AX$57=0,1,MIN(1,$CG$8/Ansparphase!$AX$57)))*Parameter!$C$52,Parameter!$C$51)</f>
        <v>0</v>
      </c>
      <c r="O36" s="40" t="n">
        <f aca="false">IF(Eingaben!$C$28=1,IF(28&lt;10,(Ansparphase!$AW$57+Ansparphase!$AX$57)/120,0),M36/12)</f>
        <v>0</v>
      </c>
      <c r="P36" s="40" t="n">
        <f aca="false">Eingaben!$C$41/12*(1+Eingaben!$C$13)^C36</f>
        <v>7777.54606814112</v>
      </c>
      <c r="Q36" s="40" t="n">
        <f aca="false">MAX(0,MIN(O36,Parameter!$C$5/12*E36-P36))</f>
        <v>0</v>
      </c>
      <c r="R36" s="40" t="n">
        <f aca="false">IF(Eingaben!$C$39=2,0,MAX(0,Q36-Parameter!$C$7*E36)*Parameter!$C$54*12)</f>
        <v>0</v>
      </c>
      <c r="S36" s="40" t="n">
        <f aca="false">IF(Eingaben!$C$39=2,0,IF(O36&gt;Parameter!$C$7*E36,Q36*Parameter!$C$59*12,0))</f>
        <v>0</v>
      </c>
      <c r="T36" s="40" t="n">
        <f aca="false">R36+S36</f>
        <v>0</v>
      </c>
      <c r="U36" s="40" t="n">
        <f aca="false">Ansparphase!$BJ$57*Parameter!$C$9*12*(1+Eingaben!$C$13)^(Eingaben!$C$6-Eingaben!$C$5)*(1+Eingaben!$C$13)^28*F36</f>
        <v>0</v>
      </c>
      <c r="V36" s="40" t="n">
        <f aca="false">U36*Parameter!$C$66</f>
        <v>0</v>
      </c>
      <c r="W36" s="40" t="n">
        <f aca="false">IF(Eingaben!$C$39=2,0,U36*(Parameter!$C$53+Parameter!$C$59))</f>
        <v>0</v>
      </c>
      <c r="X36" s="40" t="n">
        <f aca="false">MAX(0,G36-V36+N36-T36+W36)</f>
        <v>65378.0748065081</v>
      </c>
      <c r="Y36" s="40" t="n">
        <f aca="false">MAX(0,(X36+IF(Eingaben!$C$14=3,Eingaben!$C$15,0))/Parameter!$C$57/D36)</f>
        <v>22000</v>
      </c>
      <c r="Z36" s="40" t="n">
        <f aca="false">Parameter!$C$57*D36*(IF(Y36&lt;=Parameter!$C$18,0,IF(Y36&lt;=Parameter!$C$19,(Parameter!$C$22*(Y36-Parameter!$C$18)/10000+Parameter!$C$23)*(Y36-Parameter!$C$18)/10000,IF(Y36&lt;=Parameter!$C$20,(Parameter!$C$24*(Y36-Parameter!$C$19)/10000+Parameter!$C$25)*(Y36-Parameter!$C$19)/10000+Parameter!$C$26,IF(Y36&lt;=Parameter!$C$21,0.42*Y36-Parameter!$C$27,0.45*Y36-Parameter!$C$28)))))</f>
        <v>6158.6119191136</v>
      </c>
      <c r="AA36" s="40" t="n">
        <f aca="false">Z36+IF(Z36&lt;=(Parameter!$C$30*Parameter!$C$57*D36),0,MIN(Parameter!$C$29*Z36,Parameter!$C$31*(Z36-(Parameter!$C$30*Parameter!$C$57*D36))))+Eingaben!$C$16*Z36</f>
        <v>6158.6119191136</v>
      </c>
      <c r="AB36" s="40" t="n">
        <f aca="false">MAX(0,G36-V36+N36/5-T36+W36)</f>
        <v>65378.0748065081</v>
      </c>
      <c r="AC36" s="40" t="n">
        <f aca="false">MAX(0,(AB36+IF(Eingaben!$C$14=3,Eingaben!$C$15,0))/Parameter!$C$57/D36)</f>
        <v>22000</v>
      </c>
      <c r="AD36" s="40" t="n">
        <f aca="false">Parameter!$C$57*D36*(IF(AC36&lt;=Parameter!$C$18,0,IF(AC36&lt;=Parameter!$C$19,(Parameter!$C$22*(AC36-Parameter!$C$18)/10000+Parameter!$C$23)*(AC36-Parameter!$C$18)/10000,IF(AC36&lt;=Parameter!$C$20,(Parameter!$C$24*(AC36-Parameter!$C$19)/10000+Parameter!$C$25)*(AC36-Parameter!$C$19)/10000+Parameter!$C$26,IF(AC36&lt;=Parameter!$C$21,0.42*AC36-Parameter!$C$27,0.45*AC36-Parameter!$C$28)))))</f>
        <v>6158.6119191136</v>
      </c>
      <c r="AE36" s="40" t="n">
        <f aca="false">AD36+IF(AD36&lt;=(Parameter!$C$30*Parameter!$C$57*D36),0,MIN(Parameter!$C$29*AD36,Parameter!$C$31*(AD36-(Parameter!$C$30*Parameter!$C$57*D36))))+Eingaben!$C$16*AD36</f>
        <v>6158.6119191136</v>
      </c>
      <c r="AF36" s="40" t="n">
        <f aca="false">IF(AND(Eingaben!$C$31=1,Eingaben!$C$28=1,M36&gt;0),MIN(AA36-J36,5*(AE36-J36)),AA36-J36)</f>
        <v>0</v>
      </c>
      <c r="AG36" s="40" t="n">
        <f aca="false">M36-T36-AF36-U36+W36</f>
        <v>0</v>
      </c>
      <c r="AH36" s="40" t="n">
        <f aca="false">MAX(0,(AH35-AI35)*(1+Parameter!$C$61))</f>
        <v>0</v>
      </c>
      <c r="AI36" s="40" t="n">
        <f aca="false">IF(F36=0,0,MIN(AH36,Ansparphase!$AY$57*IF(28=0,Eingaben!$C$42,0)+(Ansparphase!$AY$57*(1-Eingaben!$C$42))*$CG$4))</f>
        <v>0</v>
      </c>
      <c r="AJ36" s="40" t="n">
        <f aca="false">MAX(0,(AJ35-AK35)*(1+Parameter!$C$61))</f>
        <v>0</v>
      </c>
      <c r="AK36" s="40" t="n">
        <f aca="false">IF(F36=0,0,MIN(AJ36,Ansparphase!$AZ$57*IF(28=0,Eingaben!$C$42,0)+(Ansparphase!$AZ$57*(1-Eingaben!$C$42))*$CG$4))</f>
        <v>0</v>
      </c>
      <c r="AL36" s="40" t="n">
        <f aca="false">MAX(0,(AL35-AM35)*(1+Parameter!$C$62))</f>
        <v>0</v>
      </c>
      <c r="AM36" s="40" t="n">
        <f aca="false">IF(F36=0,0,MIN(AL36,Ansparphase!$BA$57*$CG$5))</f>
        <v>0</v>
      </c>
      <c r="AN36" s="40" t="n">
        <f aca="false">MAX(0,AM36*(1-IF(Ansparphase!$BA$57=0,1,MIN(1,Ansparphase!$BB$57/Ansparphase!$BA$57)))*(1-Parameter!$C$37))*Parameter!$C$36</f>
        <v>0</v>
      </c>
      <c r="AO36" s="40" t="n">
        <f aca="false">AI36+AK36*(1-IF(Ansparphase!$AZ$57=0,1,MIN(1,$CG$7/Ansparphase!$AZ$57)))*Parameter!$C$52</f>
        <v>0</v>
      </c>
      <c r="AP36" s="40" t="n">
        <f aca="false">MAX(0,G36+AO36)</f>
        <v>65378.0748065081</v>
      </c>
      <c r="AQ36" s="40" t="n">
        <f aca="false">MAX(0,(AP36+IF(Eingaben!$C$14=3,Eingaben!$C$15,0))/Parameter!$C$57/D36)</f>
        <v>22000</v>
      </c>
      <c r="AR36" s="40" t="n">
        <f aca="false">Parameter!$C$57*D36*(IF(AQ36&lt;=Parameter!$C$18,0,IF(AQ36&lt;=Parameter!$C$19,(Parameter!$C$22*(AQ36-Parameter!$C$18)/10000+Parameter!$C$23)*(AQ36-Parameter!$C$18)/10000,IF(AQ36&lt;=Parameter!$C$20,(Parameter!$C$24*(AQ36-Parameter!$C$19)/10000+Parameter!$C$25)*(AQ36-Parameter!$C$19)/10000+Parameter!$C$26,IF(AQ36&lt;=Parameter!$C$21,0.42*AQ36-Parameter!$C$27,0.45*AQ36-Parameter!$C$28)))))</f>
        <v>6158.6119191136</v>
      </c>
      <c r="AS36" s="40" t="n">
        <f aca="false">AR36+IF(AR36&lt;=(Parameter!$C$30*Parameter!$C$57*D36),0,MIN(Parameter!$C$29*AR36,Parameter!$C$31*(AR36-(Parameter!$C$30*Parameter!$C$57*D36))))+Eingaben!$C$16*AR36</f>
        <v>6158.6119191136</v>
      </c>
      <c r="AT36" s="40" t="n">
        <f aca="false">AI36+AK36-(AS36-J36)+AM36-AN36</f>
        <v>0</v>
      </c>
      <c r="AU36" s="40" t="n">
        <f aca="false">MAX(0,(AU35-AW35)*(1+Parameter!$C$62))</f>
        <v>0</v>
      </c>
      <c r="AV36" s="40" t="n">
        <f aca="false">MAX(0,AV35-AV35*IF(AU35=0,0,AW35/AU35))</f>
        <v>0</v>
      </c>
      <c r="AW36" s="40" t="n">
        <f aca="false">IF(F36=0,0,MIN(AU36,Ansparphase!$BE$57*$CG$5))</f>
        <v>0</v>
      </c>
      <c r="AX36" s="40" t="n">
        <f aca="false">AW36-IF(AU36=0,0,AV36*AW36/AU36)</f>
        <v>0</v>
      </c>
      <c r="AY36" s="40" t="n">
        <f aca="false">MAX(0,AX36*(1-Parameter!$C$37)-Parameter!$C$67)*Parameter!$C$36</f>
        <v>0</v>
      </c>
      <c r="AZ36" s="40" t="n">
        <f aca="false">AW36-AY36</f>
        <v>0</v>
      </c>
      <c r="BA36" s="38" t="n">
        <f aca="false">1/(1+Eingaben!$C$37)^C36</f>
        <v>0.336504249553246</v>
      </c>
      <c r="BB36" s="40" t="n">
        <f aca="false">IF(AND(Eingaben!$C$28=2,F36=0),(Ansparphase!$AW$57+Ansparphase!$AX$57)*Eingaben!$C$29/10000*12*(1+Eingaben!$C$30)^28,0)</f>
        <v>0</v>
      </c>
      <c r="BC36" s="38" t="n">
        <f aca="false">1/(1+Parameter!$C$68)^28</f>
        <v>0.220697415789093</v>
      </c>
    </row>
    <row r="37" customFormat="false" ht="15" hidden="false" customHeight="false" outlineLevel="0" collapsed="false">
      <c r="A37" s="32" t="n">
        <f aca="false">2026+C37</f>
        <v>2082</v>
      </c>
      <c r="B37" s="32" t="n">
        <f aca="false">Eingaben!$C$6+29</f>
        <v>96</v>
      </c>
      <c r="C37" s="32" t="n">
        <f aca="false">B37-Eingaben!$C$5</f>
        <v>56</v>
      </c>
      <c r="D37" s="41" t="n">
        <f aca="false">(1+Eingaben!$C$17)^C37</f>
        <v>3.03116528648356</v>
      </c>
      <c r="E37" s="41" t="n">
        <f aca="false">(1+Eingaben!$C$13)^C37</f>
        <v>3.98599235992232</v>
      </c>
      <c r="F37" s="32" t="n">
        <f aca="false">IF(B37&lt;=Eingaben!$C$7,1,0)</f>
        <v>0</v>
      </c>
      <c r="G37" s="43" t="n">
        <f aca="false">Eingaben!$C$40*(1+Eingaben!$C$37)^C37</f>
        <v>66685.6363026382</v>
      </c>
      <c r="H37" s="43" t="n">
        <f aca="false">MAX(0,(G37+IF(Eingaben!$C$14=3,Eingaben!$C$15,0))/Parameter!$C$57/D37)</f>
        <v>22000</v>
      </c>
      <c r="I37" s="43" t="n">
        <f aca="false">Parameter!$C$57*D37*(IF(H37&lt;=Parameter!$C$18,0,IF(H37&lt;=Parameter!$C$19,(Parameter!$C$22*(H37-Parameter!$C$18)/10000+Parameter!$C$23)*(H37-Parameter!$C$18)/10000,IF(H37&lt;=Parameter!$C$20,(Parameter!$C$24*(H37-Parameter!$C$19)/10000+Parameter!$C$25)*(H37-Parameter!$C$19)/10000+Parameter!$C$26,IF(H37&lt;=Parameter!$C$21,0.42*H37-Parameter!$C$27,0.45*H37-Parameter!$C$28)))))</f>
        <v>6281.78415749587</v>
      </c>
      <c r="J37" s="43" t="n">
        <f aca="false">I37+IF(I37&lt;=(Parameter!$C$30*Parameter!$C$57*D37),0,MIN(Parameter!$C$29*I37,Parameter!$C$31*(I37-(Parameter!$C$30*Parameter!$C$57*D37))))+Eingaben!$C$16*I37</f>
        <v>6281.78415749587</v>
      </c>
      <c r="K37" s="43" t="n">
        <f aca="false">IF(Eingaben!$C$28=1,IF(0=1,Ansparphase!$AW$57,0),(Ansparphase!$AW$57+Ansparphase!$AX$57)*Eingaben!$C$29/10000*12*(1+Eingaben!$C$30)^29*F37*IF((Ansparphase!$AW$57+Ansparphase!$AX$57)=0,0,Ansparphase!$AW$57/(Ansparphase!$AW$57+Ansparphase!$AX$57)))</f>
        <v>0</v>
      </c>
      <c r="L37" s="43" t="n">
        <f aca="false">IF(Eingaben!$C$28=1,IF(0=1,Ansparphase!$AX$57,0),(Ansparphase!$AW$57+Ansparphase!$AX$57)*Eingaben!$C$29/10000*12*(1+Eingaben!$C$30)^29*F37*IF((Ansparphase!$AW$57+Ansparphase!$AX$57)=0,0,Ansparphase!$AX$57/(Ansparphase!$AW$57+Ansparphase!$AX$57)))</f>
        <v>0</v>
      </c>
      <c r="M37" s="43" t="n">
        <f aca="false">K37+L37</f>
        <v>0</v>
      </c>
      <c r="N37" s="43" t="n">
        <f aca="false">K37+L37*IF(Eingaben!$C$28=1,(1-IF(Ansparphase!$AX$57=0,1,MIN(1,$CG$8/Ansparphase!$AX$57)))*Parameter!$C$52,Parameter!$C$51)</f>
        <v>0</v>
      </c>
      <c r="O37" s="43" t="n">
        <f aca="false">IF(Eingaben!$C$28=1,IF(29&lt;10,(Ansparphase!$AW$57+Ansparphase!$AX$57)/120,0),M37/12)</f>
        <v>0</v>
      </c>
      <c r="P37" s="43" t="n">
        <f aca="false">Eingaben!$C$41/12*(1+Eingaben!$C$13)^C37</f>
        <v>7971.98471984465</v>
      </c>
      <c r="Q37" s="43" t="n">
        <f aca="false">MAX(0,MIN(O37,Parameter!$C$5/12*E37-P37))</f>
        <v>0</v>
      </c>
      <c r="R37" s="43" t="n">
        <f aca="false">IF(Eingaben!$C$39=2,0,MAX(0,Q37-Parameter!$C$7*E37)*Parameter!$C$54*12)</f>
        <v>0</v>
      </c>
      <c r="S37" s="43" t="n">
        <f aca="false">IF(Eingaben!$C$39=2,0,IF(O37&gt;Parameter!$C$7*E37,Q37*Parameter!$C$59*12,0))</f>
        <v>0</v>
      </c>
      <c r="T37" s="43" t="n">
        <f aca="false">R37+S37</f>
        <v>0</v>
      </c>
      <c r="U37" s="43" t="n">
        <f aca="false">Ansparphase!$BJ$57*Parameter!$C$9*12*(1+Eingaben!$C$13)^(Eingaben!$C$6-Eingaben!$C$5)*(1+Eingaben!$C$13)^29*F37</f>
        <v>0</v>
      </c>
      <c r="V37" s="43" t="n">
        <f aca="false">U37*Parameter!$C$66</f>
        <v>0</v>
      </c>
      <c r="W37" s="43" t="n">
        <f aca="false">IF(Eingaben!$C$39=2,0,U37*(Parameter!$C$53+Parameter!$C$59))</f>
        <v>0</v>
      </c>
      <c r="X37" s="43" t="n">
        <f aca="false">MAX(0,G37-V37+N37-T37+W37)</f>
        <v>66685.6363026382</v>
      </c>
      <c r="Y37" s="43" t="n">
        <f aca="false">MAX(0,(X37+IF(Eingaben!$C$14=3,Eingaben!$C$15,0))/Parameter!$C$57/D37)</f>
        <v>22000</v>
      </c>
      <c r="Z37" s="43" t="n">
        <f aca="false">Parameter!$C$57*D37*(IF(Y37&lt;=Parameter!$C$18,0,IF(Y37&lt;=Parameter!$C$19,(Parameter!$C$22*(Y37-Parameter!$C$18)/10000+Parameter!$C$23)*(Y37-Parameter!$C$18)/10000,IF(Y37&lt;=Parameter!$C$20,(Parameter!$C$24*(Y37-Parameter!$C$19)/10000+Parameter!$C$25)*(Y37-Parameter!$C$19)/10000+Parameter!$C$26,IF(Y37&lt;=Parameter!$C$21,0.42*Y37-Parameter!$C$27,0.45*Y37-Parameter!$C$28)))))</f>
        <v>6281.78415749587</v>
      </c>
      <c r="AA37" s="43" t="n">
        <f aca="false">Z37+IF(Z37&lt;=(Parameter!$C$30*Parameter!$C$57*D37),0,MIN(Parameter!$C$29*Z37,Parameter!$C$31*(Z37-(Parameter!$C$30*Parameter!$C$57*D37))))+Eingaben!$C$16*Z37</f>
        <v>6281.78415749587</v>
      </c>
      <c r="AB37" s="43" t="n">
        <f aca="false">MAX(0,G37-V37+N37/5-T37+W37)</f>
        <v>66685.6363026382</v>
      </c>
      <c r="AC37" s="43" t="n">
        <f aca="false">MAX(0,(AB37+IF(Eingaben!$C$14=3,Eingaben!$C$15,0))/Parameter!$C$57/D37)</f>
        <v>22000</v>
      </c>
      <c r="AD37" s="43" t="n">
        <f aca="false">Parameter!$C$57*D37*(IF(AC37&lt;=Parameter!$C$18,0,IF(AC37&lt;=Parameter!$C$19,(Parameter!$C$22*(AC37-Parameter!$C$18)/10000+Parameter!$C$23)*(AC37-Parameter!$C$18)/10000,IF(AC37&lt;=Parameter!$C$20,(Parameter!$C$24*(AC37-Parameter!$C$19)/10000+Parameter!$C$25)*(AC37-Parameter!$C$19)/10000+Parameter!$C$26,IF(AC37&lt;=Parameter!$C$21,0.42*AC37-Parameter!$C$27,0.45*AC37-Parameter!$C$28)))))</f>
        <v>6281.78415749587</v>
      </c>
      <c r="AE37" s="43" t="n">
        <f aca="false">AD37+IF(AD37&lt;=(Parameter!$C$30*Parameter!$C$57*D37),0,MIN(Parameter!$C$29*AD37,Parameter!$C$31*(AD37-(Parameter!$C$30*Parameter!$C$57*D37))))+Eingaben!$C$16*AD37</f>
        <v>6281.78415749587</v>
      </c>
      <c r="AF37" s="43" t="n">
        <f aca="false">IF(AND(Eingaben!$C$31=1,Eingaben!$C$28=1,M37&gt;0),MIN(AA37-J37,5*(AE37-J37)),AA37-J37)</f>
        <v>0</v>
      </c>
      <c r="AG37" s="43" t="n">
        <f aca="false">M37-T37-AF37-U37+W37</f>
        <v>0</v>
      </c>
      <c r="AH37" s="43" t="n">
        <f aca="false">MAX(0,(AH36-AI36)*(1+Parameter!$C$61))</f>
        <v>0</v>
      </c>
      <c r="AI37" s="43" t="n">
        <f aca="false">IF(F37=0,0,MIN(AH37,Ansparphase!$AY$57*IF(29=0,Eingaben!$C$42,0)+(Ansparphase!$AY$57*(1-Eingaben!$C$42))*$CG$4))</f>
        <v>0</v>
      </c>
      <c r="AJ37" s="43" t="n">
        <f aca="false">MAX(0,(AJ36-AK36)*(1+Parameter!$C$61))</f>
        <v>0</v>
      </c>
      <c r="AK37" s="43" t="n">
        <f aca="false">IF(F37=0,0,MIN(AJ37,Ansparphase!$AZ$57*IF(29=0,Eingaben!$C$42,0)+(Ansparphase!$AZ$57*(1-Eingaben!$C$42))*$CG$4))</f>
        <v>0</v>
      </c>
      <c r="AL37" s="43" t="n">
        <f aca="false">MAX(0,(AL36-AM36)*(1+Parameter!$C$62))</f>
        <v>0</v>
      </c>
      <c r="AM37" s="43" t="n">
        <f aca="false">IF(F37=0,0,MIN(AL37,Ansparphase!$BA$57*$CG$5))</f>
        <v>0</v>
      </c>
      <c r="AN37" s="43" t="n">
        <f aca="false">MAX(0,AM37*(1-IF(Ansparphase!$BA$57=0,1,MIN(1,Ansparphase!$BB$57/Ansparphase!$BA$57)))*(1-Parameter!$C$37))*Parameter!$C$36</f>
        <v>0</v>
      </c>
      <c r="AO37" s="43" t="n">
        <f aca="false">AI37+AK37*(1-IF(Ansparphase!$AZ$57=0,1,MIN(1,$CG$7/Ansparphase!$AZ$57)))*Parameter!$C$52</f>
        <v>0</v>
      </c>
      <c r="AP37" s="43" t="n">
        <f aca="false">MAX(0,G37+AO37)</f>
        <v>66685.6363026382</v>
      </c>
      <c r="AQ37" s="43" t="n">
        <f aca="false">MAX(0,(AP37+IF(Eingaben!$C$14=3,Eingaben!$C$15,0))/Parameter!$C$57/D37)</f>
        <v>22000</v>
      </c>
      <c r="AR37" s="43" t="n">
        <f aca="false">Parameter!$C$57*D37*(IF(AQ37&lt;=Parameter!$C$18,0,IF(AQ37&lt;=Parameter!$C$19,(Parameter!$C$22*(AQ37-Parameter!$C$18)/10000+Parameter!$C$23)*(AQ37-Parameter!$C$18)/10000,IF(AQ37&lt;=Parameter!$C$20,(Parameter!$C$24*(AQ37-Parameter!$C$19)/10000+Parameter!$C$25)*(AQ37-Parameter!$C$19)/10000+Parameter!$C$26,IF(AQ37&lt;=Parameter!$C$21,0.42*AQ37-Parameter!$C$27,0.45*AQ37-Parameter!$C$28)))))</f>
        <v>6281.78415749587</v>
      </c>
      <c r="AS37" s="43" t="n">
        <f aca="false">AR37+IF(AR37&lt;=(Parameter!$C$30*Parameter!$C$57*D37),0,MIN(Parameter!$C$29*AR37,Parameter!$C$31*(AR37-(Parameter!$C$30*Parameter!$C$57*D37))))+Eingaben!$C$16*AR37</f>
        <v>6281.78415749587</v>
      </c>
      <c r="AT37" s="43" t="n">
        <f aca="false">AI37+AK37-(AS37-J37)+AM37-AN37</f>
        <v>0</v>
      </c>
      <c r="AU37" s="43" t="n">
        <f aca="false">MAX(0,(AU36-AW36)*(1+Parameter!$C$62))</f>
        <v>0</v>
      </c>
      <c r="AV37" s="43" t="n">
        <f aca="false">MAX(0,AV36-AV36*IF(AU36=0,0,AW36/AU36))</f>
        <v>0</v>
      </c>
      <c r="AW37" s="43" t="n">
        <f aca="false">IF(F37=0,0,MIN(AU37,Ansparphase!$BE$57*$CG$5))</f>
        <v>0</v>
      </c>
      <c r="AX37" s="43" t="n">
        <f aca="false">AW37-IF(AU37=0,0,AV37*AW37/AU37)</f>
        <v>0</v>
      </c>
      <c r="AY37" s="43" t="n">
        <f aca="false">MAX(0,AX37*(1-Parameter!$C$37)-Parameter!$C$67)*Parameter!$C$36</f>
        <v>0</v>
      </c>
      <c r="AZ37" s="43" t="n">
        <f aca="false">AW37-AY37</f>
        <v>0</v>
      </c>
      <c r="BA37" s="41" t="n">
        <f aca="false">1/(1+Eingaben!$C$37)^C37</f>
        <v>0.329906127012987</v>
      </c>
      <c r="BB37" s="43" t="n">
        <f aca="false">IF(AND(Eingaben!$C$28=2,F37=0),(Ansparphase!$AW$57+Ansparphase!$AX$57)*Eingaben!$C$29/10000*12*(1+Eingaben!$C$30)^29,0)</f>
        <v>0</v>
      </c>
      <c r="BC37" s="41" t="n">
        <f aca="false">1/(1+Parameter!$C$68)^29</f>
        <v>0.209103564124432</v>
      </c>
    </row>
    <row r="38" customFormat="false" ht="15" hidden="false" customHeight="false" outlineLevel="0" collapsed="false">
      <c r="A38" s="30" t="n">
        <f aca="false">2026+C38</f>
        <v>2083</v>
      </c>
      <c r="B38" s="30" t="n">
        <f aca="false">Eingaben!$C$6+30</f>
        <v>97</v>
      </c>
      <c r="C38" s="30" t="n">
        <f aca="false">B38-Eingaben!$C$5</f>
        <v>57</v>
      </c>
      <c r="D38" s="38" t="n">
        <f aca="false">(1+Eingaben!$C$17)^C38</f>
        <v>3.09178859221323</v>
      </c>
      <c r="E38" s="38" t="n">
        <f aca="false">(1+Eingaben!$C$13)^C38</f>
        <v>4.08564216892038</v>
      </c>
      <c r="F38" s="30" t="n">
        <f aca="false">IF(B38&lt;=Eingaben!$C$7,1,0)</f>
        <v>0</v>
      </c>
      <c r="G38" s="40" t="n">
        <f aca="false">Eingaben!$C$40*(1+Eingaben!$C$37)^C38</f>
        <v>68019.349028691</v>
      </c>
      <c r="H38" s="40" t="n">
        <f aca="false">MAX(0,(G38+IF(Eingaben!$C$14=3,Eingaben!$C$15,0))/Parameter!$C$57/D38)</f>
        <v>22000</v>
      </c>
      <c r="I38" s="40" t="n">
        <f aca="false">Parameter!$C$57*D38*(IF(H38&lt;=Parameter!$C$18,0,IF(H38&lt;=Parameter!$C$19,(Parameter!$C$22*(H38-Parameter!$C$18)/10000+Parameter!$C$23)*(H38-Parameter!$C$18)/10000,IF(H38&lt;=Parameter!$C$20,(Parameter!$C$24*(H38-Parameter!$C$19)/10000+Parameter!$C$25)*(H38-Parameter!$C$19)/10000+Parameter!$C$26,IF(H38&lt;=Parameter!$C$21,0.42*H38-Parameter!$C$27,0.45*H38-Parameter!$C$28)))))</f>
        <v>6407.41984064579</v>
      </c>
      <c r="J38" s="40" t="n">
        <f aca="false">I38+IF(I38&lt;=(Parameter!$C$30*Parameter!$C$57*D38),0,MIN(Parameter!$C$29*I38,Parameter!$C$31*(I38-(Parameter!$C$30*Parameter!$C$57*D38))))+Eingaben!$C$16*I38</f>
        <v>6407.41984064579</v>
      </c>
      <c r="K38" s="40" t="n">
        <f aca="false">IF(Eingaben!$C$28=1,IF(0=1,Ansparphase!$AW$57,0),(Ansparphase!$AW$57+Ansparphase!$AX$57)*Eingaben!$C$29/10000*12*(1+Eingaben!$C$30)^30*F38*IF((Ansparphase!$AW$57+Ansparphase!$AX$57)=0,0,Ansparphase!$AW$57/(Ansparphase!$AW$57+Ansparphase!$AX$57)))</f>
        <v>0</v>
      </c>
      <c r="L38" s="40" t="n">
        <f aca="false">IF(Eingaben!$C$28=1,IF(0=1,Ansparphase!$AX$57,0),(Ansparphase!$AW$57+Ansparphase!$AX$57)*Eingaben!$C$29/10000*12*(1+Eingaben!$C$30)^30*F38*IF((Ansparphase!$AW$57+Ansparphase!$AX$57)=0,0,Ansparphase!$AX$57/(Ansparphase!$AW$57+Ansparphase!$AX$57)))</f>
        <v>0</v>
      </c>
      <c r="M38" s="40" t="n">
        <f aca="false">K38+L38</f>
        <v>0</v>
      </c>
      <c r="N38" s="40" t="n">
        <f aca="false">K38+L38*IF(Eingaben!$C$28=1,(1-IF(Ansparphase!$AX$57=0,1,MIN(1,$CG$8/Ansparphase!$AX$57)))*Parameter!$C$52,Parameter!$C$51)</f>
        <v>0</v>
      </c>
      <c r="O38" s="40" t="n">
        <f aca="false">IF(Eingaben!$C$28=1,IF(30&lt;10,(Ansparphase!$AW$57+Ansparphase!$AX$57)/120,0),M38/12)</f>
        <v>0</v>
      </c>
      <c r="P38" s="40" t="n">
        <f aca="false">Eingaben!$C$41/12*(1+Eingaben!$C$13)^C38</f>
        <v>8171.28433784076</v>
      </c>
      <c r="Q38" s="40" t="n">
        <f aca="false">MAX(0,MIN(O38,Parameter!$C$5/12*E38-P38))</f>
        <v>0</v>
      </c>
      <c r="R38" s="40" t="n">
        <f aca="false">IF(Eingaben!$C$39=2,0,MAX(0,Q38-Parameter!$C$7*E38)*Parameter!$C$54*12)</f>
        <v>0</v>
      </c>
      <c r="S38" s="40" t="n">
        <f aca="false">IF(Eingaben!$C$39=2,0,IF(O38&gt;Parameter!$C$7*E38,Q38*Parameter!$C$59*12,0))</f>
        <v>0</v>
      </c>
      <c r="T38" s="40" t="n">
        <f aca="false">R38+S38</f>
        <v>0</v>
      </c>
      <c r="U38" s="40" t="n">
        <f aca="false">Ansparphase!$BJ$57*Parameter!$C$9*12*(1+Eingaben!$C$13)^(Eingaben!$C$6-Eingaben!$C$5)*(1+Eingaben!$C$13)^30*F38</f>
        <v>0</v>
      </c>
      <c r="V38" s="40" t="n">
        <f aca="false">U38*Parameter!$C$66</f>
        <v>0</v>
      </c>
      <c r="W38" s="40" t="n">
        <f aca="false">IF(Eingaben!$C$39=2,0,U38*(Parameter!$C$53+Parameter!$C$59))</f>
        <v>0</v>
      </c>
      <c r="X38" s="40" t="n">
        <f aca="false">MAX(0,G38-V38+N38-T38+W38)</f>
        <v>68019.349028691</v>
      </c>
      <c r="Y38" s="40" t="n">
        <f aca="false">MAX(0,(X38+IF(Eingaben!$C$14=3,Eingaben!$C$15,0))/Parameter!$C$57/D38)</f>
        <v>22000</v>
      </c>
      <c r="Z38" s="40" t="n">
        <f aca="false">Parameter!$C$57*D38*(IF(Y38&lt;=Parameter!$C$18,0,IF(Y38&lt;=Parameter!$C$19,(Parameter!$C$22*(Y38-Parameter!$C$18)/10000+Parameter!$C$23)*(Y38-Parameter!$C$18)/10000,IF(Y38&lt;=Parameter!$C$20,(Parameter!$C$24*(Y38-Parameter!$C$19)/10000+Parameter!$C$25)*(Y38-Parameter!$C$19)/10000+Parameter!$C$26,IF(Y38&lt;=Parameter!$C$21,0.42*Y38-Parameter!$C$27,0.45*Y38-Parameter!$C$28)))))</f>
        <v>6407.41984064579</v>
      </c>
      <c r="AA38" s="40" t="n">
        <f aca="false">Z38+IF(Z38&lt;=(Parameter!$C$30*Parameter!$C$57*D38),0,MIN(Parameter!$C$29*Z38,Parameter!$C$31*(Z38-(Parameter!$C$30*Parameter!$C$57*D38))))+Eingaben!$C$16*Z38</f>
        <v>6407.41984064579</v>
      </c>
      <c r="AB38" s="40" t="n">
        <f aca="false">MAX(0,G38-V38+N38/5-T38+W38)</f>
        <v>68019.349028691</v>
      </c>
      <c r="AC38" s="40" t="n">
        <f aca="false">MAX(0,(AB38+IF(Eingaben!$C$14=3,Eingaben!$C$15,0))/Parameter!$C$57/D38)</f>
        <v>22000</v>
      </c>
      <c r="AD38" s="40" t="n">
        <f aca="false">Parameter!$C$57*D38*(IF(AC38&lt;=Parameter!$C$18,0,IF(AC38&lt;=Parameter!$C$19,(Parameter!$C$22*(AC38-Parameter!$C$18)/10000+Parameter!$C$23)*(AC38-Parameter!$C$18)/10000,IF(AC38&lt;=Parameter!$C$20,(Parameter!$C$24*(AC38-Parameter!$C$19)/10000+Parameter!$C$25)*(AC38-Parameter!$C$19)/10000+Parameter!$C$26,IF(AC38&lt;=Parameter!$C$21,0.42*AC38-Parameter!$C$27,0.45*AC38-Parameter!$C$28)))))</f>
        <v>6407.41984064579</v>
      </c>
      <c r="AE38" s="40" t="n">
        <f aca="false">AD38+IF(AD38&lt;=(Parameter!$C$30*Parameter!$C$57*D38),0,MIN(Parameter!$C$29*AD38,Parameter!$C$31*(AD38-(Parameter!$C$30*Parameter!$C$57*D38))))+Eingaben!$C$16*AD38</f>
        <v>6407.41984064579</v>
      </c>
      <c r="AF38" s="40" t="n">
        <f aca="false">IF(AND(Eingaben!$C$31=1,Eingaben!$C$28=1,M38&gt;0),MIN(AA38-J38,5*(AE38-J38)),AA38-J38)</f>
        <v>0</v>
      </c>
      <c r="AG38" s="40" t="n">
        <f aca="false">M38-T38-AF38-U38+W38</f>
        <v>0</v>
      </c>
      <c r="AH38" s="40" t="n">
        <f aca="false">MAX(0,(AH37-AI37)*(1+Parameter!$C$61))</f>
        <v>0</v>
      </c>
      <c r="AI38" s="40" t="n">
        <f aca="false">IF(F38=0,0,MIN(AH38,Ansparphase!$AY$57*IF(30=0,Eingaben!$C$42,0)+(Ansparphase!$AY$57*(1-Eingaben!$C$42))*$CG$4))</f>
        <v>0</v>
      </c>
      <c r="AJ38" s="40" t="n">
        <f aca="false">MAX(0,(AJ37-AK37)*(1+Parameter!$C$61))</f>
        <v>0</v>
      </c>
      <c r="AK38" s="40" t="n">
        <f aca="false">IF(F38=0,0,MIN(AJ38,Ansparphase!$AZ$57*IF(30=0,Eingaben!$C$42,0)+(Ansparphase!$AZ$57*(1-Eingaben!$C$42))*$CG$4))</f>
        <v>0</v>
      </c>
      <c r="AL38" s="40" t="n">
        <f aca="false">MAX(0,(AL37-AM37)*(1+Parameter!$C$62))</f>
        <v>0</v>
      </c>
      <c r="AM38" s="40" t="n">
        <f aca="false">IF(F38=0,0,MIN(AL38,Ansparphase!$BA$57*$CG$5))</f>
        <v>0</v>
      </c>
      <c r="AN38" s="40" t="n">
        <f aca="false">MAX(0,AM38*(1-IF(Ansparphase!$BA$57=0,1,MIN(1,Ansparphase!$BB$57/Ansparphase!$BA$57)))*(1-Parameter!$C$37))*Parameter!$C$36</f>
        <v>0</v>
      </c>
      <c r="AO38" s="40" t="n">
        <f aca="false">AI38+AK38*(1-IF(Ansparphase!$AZ$57=0,1,MIN(1,$CG$7/Ansparphase!$AZ$57)))*Parameter!$C$52</f>
        <v>0</v>
      </c>
      <c r="AP38" s="40" t="n">
        <f aca="false">MAX(0,G38+AO38)</f>
        <v>68019.349028691</v>
      </c>
      <c r="AQ38" s="40" t="n">
        <f aca="false">MAX(0,(AP38+IF(Eingaben!$C$14=3,Eingaben!$C$15,0))/Parameter!$C$57/D38)</f>
        <v>22000</v>
      </c>
      <c r="AR38" s="40" t="n">
        <f aca="false">Parameter!$C$57*D38*(IF(AQ38&lt;=Parameter!$C$18,0,IF(AQ38&lt;=Parameter!$C$19,(Parameter!$C$22*(AQ38-Parameter!$C$18)/10000+Parameter!$C$23)*(AQ38-Parameter!$C$18)/10000,IF(AQ38&lt;=Parameter!$C$20,(Parameter!$C$24*(AQ38-Parameter!$C$19)/10000+Parameter!$C$25)*(AQ38-Parameter!$C$19)/10000+Parameter!$C$26,IF(AQ38&lt;=Parameter!$C$21,0.42*AQ38-Parameter!$C$27,0.45*AQ38-Parameter!$C$28)))))</f>
        <v>6407.41984064579</v>
      </c>
      <c r="AS38" s="40" t="n">
        <f aca="false">AR38+IF(AR38&lt;=(Parameter!$C$30*Parameter!$C$57*D38),0,MIN(Parameter!$C$29*AR38,Parameter!$C$31*(AR38-(Parameter!$C$30*Parameter!$C$57*D38))))+Eingaben!$C$16*AR38</f>
        <v>6407.41984064579</v>
      </c>
      <c r="AT38" s="40" t="n">
        <f aca="false">AI38+AK38-(AS38-J38)+AM38-AN38</f>
        <v>0</v>
      </c>
      <c r="AU38" s="40" t="n">
        <f aca="false">MAX(0,(AU37-AW37)*(1+Parameter!$C$62))</f>
        <v>0</v>
      </c>
      <c r="AV38" s="40" t="n">
        <f aca="false">MAX(0,AV37-AV37*IF(AU37=0,0,AW37/AU37))</f>
        <v>0</v>
      </c>
      <c r="AW38" s="40" t="n">
        <f aca="false">IF(F38=0,0,MIN(AU38,Ansparphase!$BE$57*$CG$5))</f>
        <v>0</v>
      </c>
      <c r="AX38" s="40" t="n">
        <f aca="false">AW38-IF(AU38=0,0,AV38*AW38/AU38)</f>
        <v>0</v>
      </c>
      <c r="AY38" s="40" t="n">
        <f aca="false">MAX(0,AX38*(1-Parameter!$C$37)-Parameter!$C$67)*Parameter!$C$36</f>
        <v>0</v>
      </c>
      <c r="AZ38" s="40" t="n">
        <f aca="false">AW38-AY38</f>
        <v>0</v>
      </c>
      <c r="BA38" s="38" t="n">
        <f aca="false">1/(1+Eingaben!$C$37)^C38</f>
        <v>0.323437379424497</v>
      </c>
      <c r="BB38" s="40" t="n">
        <f aca="false">IF(AND(Eingaben!$C$28=2,F38=0),(Ansparphase!$AW$57+Ansparphase!$AX$57)*Eingaben!$C$29/10000*12*(1+Eingaben!$C$30)^30,0)</f>
        <v>0</v>
      </c>
      <c r="BC38" s="38" t="n">
        <f aca="false">1/(1+Parameter!$C$68)^30</f>
        <v>0.198118769869625</v>
      </c>
    </row>
    <row r="39" customFormat="false" ht="15" hidden="false" customHeight="false" outlineLevel="0" collapsed="false">
      <c r="A39" s="32" t="n">
        <f aca="false">2026+C39</f>
        <v>2084</v>
      </c>
      <c r="B39" s="32" t="n">
        <f aca="false">Eingaben!$C$6+31</f>
        <v>98</v>
      </c>
      <c r="C39" s="32" t="n">
        <f aca="false">B39-Eingaben!$C$5</f>
        <v>58</v>
      </c>
      <c r="D39" s="41" t="n">
        <f aca="false">(1+Eingaben!$C$17)^C39</f>
        <v>3.15362436405749</v>
      </c>
      <c r="E39" s="41" t="n">
        <f aca="false">(1+Eingaben!$C$13)^C39</f>
        <v>4.18778322314339</v>
      </c>
      <c r="F39" s="32" t="n">
        <f aca="false">IF(B39&lt;=Eingaben!$C$7,1,0)</f>
        <v>0</v>
      </c>
      <c r="G39" s="43" t="n">
        <f aca="false">Eingaben!$C$40*(1+Eingaben!$C$37)^C39</f>
        <v>69379.7360092648</v>
      </c>
      <c r="H39" s="43" t="n">
        <f aca="false">MAX(0,(G39+IF(Eingaben!$C$14=3,Eingaben!$C$15,0))/Parameter!$C$57/D39)</f>
        <v>22000</v>
      </c>
      <c r="I39" s="43" t="n">
        <f aca="false">Parameter!$C$57*D39*(IF(H39&lt;=Parameter!$C$18,0,IF(H39&lt;=Parameter!$C$19,(Parameter!$C$22*(H39-Parameter!$C$18)/10000+Parameter!$C$23)*(H39-Parameter!$C$18)/10000,IF(H39&lt;=Parameter!$C$20,(Parameter!$C$24*(H39-Parameter!$C$19)/10000+Parameter!$C$25)*(H39-Parameter!$C$19)/10000+Parameter!$C$26,IF(H39&lt;=Parameter!$C$21,0.42*H39-Parameter!$C$27,0.45*H39-Parameter!$C$28)))))</f>
        <v>6535.5682374587</v>
      </c>
      <c r="J39" s="43" t="n">
        <f aca="false">I39+IF(I39&lt;=(Parameter!$C$30*Parameter!$C$57*D39),0,MIN(Parameter!$C$29*I39,Parameter!$C$31*(I39-(Parameter!$C$30*Parameter!$C$57*D39))))+Eingaben!$C$16*I39</f>
        <v>6535.5682374587</v>
      </c>
      <c r="K39" s="43" t="n">
        <f aca="false">IF(Eingaben!$C$28=1,IF(0=1,Ansparphase!$AW$57,0),(Ansparphase!$AW$57+Ansparphase!$AX$57)*Eingaben!$C$29/10000*12*(1+Eingaben!$C$30)^31*F39*IF((Ansparphase!$AW$57+Ansparphase!$AX$57)=0,0,Ansparphase!$AW$57/(Ansparphase!$AW$57+Ansparphase!$AX$57)))</f>
        <v>0</v>
      </c>
      <c r="L39" s="43" t="n">
        <f aca="false">IF(Eingaben!$C$28=1,IF(0=1,Ansparphase!$AX$57,0),(Ansparphase!$AW$57+Ansparphase!$AX$57)*Eingaben!$C$29/10000*12*(1+Eingaben!$C$30)^31*F39*IF((Ansparphase!$AW$57+Ansparphase!$AX$57)=0,0,Ansparphase!$AX$57/(Ansparphase!$AW$57+Ansparphase!$AX$57)))</f>
        <v>0</v>
      </c>
      <c r="M39" s="43" t="n">
        <f aca="false">K39+L39</f>
        <v>0</v>
      </c>
      <c r="N39" s="43" t="n">
        <f aca="false">K39+L39*IF(Eingaben!$C$28=1,(1-IF(Ansparphase!$AX$57=0,1,MIN(1,$CG$8/Ansparphase!$AX$57)))*Parameter!$C$52,Parameter!$C$51)</f>
        <v>0</v>
      </c>
      <c r="O39" s="43" t="n">
        <f aca="false">IF(Eingaben!$C$28=1,IF(31&lt;10,(Ansparphase!$AW$57+Ansparphase!$AX$57)/120,0),M39/12)</f>
        <v>0</v>
      </c>
      <c r="P39" s="43" t="n">
        <f aca="false">Eingaben!$C$41/12*(1+Eingaben!$C$13)^C39</f>
        <v>8375.56644628678</v>
      </c>
      <c r="Q39" s="43" t="n">
        <f aca="false">MAX(0,MIN(O39,Parameter!$C$5/12*E39-P39))</f>
        <v>0</v>
      </c>
      <c r="R39" s="43" t="n">
        <f aca="false">IF(Eingaben!$C$39=2,0,MAX(0,Q39-Parameter!$C$7*E39)*Parameter!$C$54*12)</f>
        <v>0</v>
      </c>
      <c r="S39" s="43" t="n">
        <f aca="false">IF(Eingaben!$C$39=2,0,IF(O39&gt;Parameter!$C$7*E39,Q39*Parameter!$C$59*12,0))</f>
        <v>0</v>
      </c>
      <c r="T39" s="43" t="n">
        <f aca="false">R39+S39</f>
        <v>0</v>
      </c>
      <c r="U39" s="43" t="n">
        <f aca="false">Ansparphase!$BJ$57*Parameter!$C$9*12*(1+Eingaben!$C$13)^(Eingaben!$C$6-Eingaben!$C$5)*(1+Eingaben!$C$13)^31*F39</f>
        <v>0</v>
      </c>
      <c r="V39" s="43" t="n">
        <f aca="false">U39*Parameter!$C$66</f>
        <v>0</v>
      </c>
      <c r="W39" s="43" t="n">
        <f aca="false">IF(Eingaben!$C$39=2,0,U39*(Parameter!$C$53+Parameter!$C$59))</f>
        <v>0</v>
      </c>
      <c r="X39" s="43" t="n">
        <f aca="false">MAX(0,G39-V39+N39-T39+W39)</f>
        <v>69379.7360092648</v>
      </c>
      <c r="Y39" s="43" t="n">
        <f aca="false">MAX(0,(X39+IF(Eingaben!$C$14=3,Eingaben!$C$15,0))/Parameter!$C$57/D39)</f>
        <v>22000</v>
      </c>
      <c r="Z39" s="43" t="n">
        <f aca="false">Parameter!$C$57*D39*(IF(Y39&lt;=Parameter!$C$18,0,IF(Y39&lt;=Parameter!$C$19,(Parameter!$C$22*(Y39-Parameter!$C$18)/10000+Parameter!$C$23)*(Y39-Parameter!$C$18)/10000,IF(Y39&lt;=Parameter!$C$20,(Parameter!$C$24*(Y39-Parameter!$C$19)/10000+Parameter!$C$25)*(Y39-Parameter!$C$19)/10000+Parameter!$C$26,IF(Y39&lt;=Parameter!$C$21,0.42*Y39-Parameter!$C$27,0.45*Y39-Parameter!$C$28)))))</f>
        <v>6535.5682374587</v>
      </c>
      <c r="AA39" s="43" t="n">
        <f aca="false">Z39+IF(Z39&lt;=(Parameter!$C$30*Parameter!$C$57*D39),0,MIN(Parameter!$C$29*Z39,Parameter!$C$31*(Z39-(Parameter!$C$30*Parameter!$C$57*D39))))+Eingaben!$C$16*Z39</f>
        <v>6535.5682374587</v>
      </c>
      <c r="AB39" s="43" t="n">
        <f aca="false">MAX(0,G39-V39+N39/5-T39+W39)</f>
        <v>69379.7360092648</v>
      </c>
      <c r="AC39" s="43" t="n">
        <f aca="false">MAX(0,(AB39+IF(Eingaben!$C$14=3,Eingaben!$C$15,0))/Parameter!$C$57/D39)</f>
        <v>22000</v>
      </c>
      <c r="AD39" s="43" t="n">
        <f aca="false">Parameter!$C$57*D39*(IF(AC39&lt;=Parameter!$C$18,0,IF(AC39&lt;=Parameter!$C$19,(Parameter!$C$22*(AC39-Parameter!$C$18)/10000+Parameter!$C$23)*(AC39-Parameter!$C$18)/10000,IF(AC39&lt;=Parameter!$C$20,(Parameter!$C$24*(AC39-Parameter!$C$19)/10000+Parameter!$C$25)*(AC39-Parameter!$C$19)/10000+Parameter!$C$26,IF(AC39&lt;=Parameter!$C$21,0.42*AC39-Parameter!$C$27,0.45*AC39-Parameter!$C$28)))))</f>
        <v>6535.5682374587</v>
      </c>
      <c r="AE39" s="43" t="n">
        <f aca="false">AD39+IF(AD39&lt;=(Parameter!$C$30*Parameter!$C$57*D39),0,MIN(Parameter!$C$29*AD39,Parameter!$C$31*(AD39-(Parameter!$C$30*Parameter!$C$57*D39))))+Eingaben!$C$16*AD39</f>
        <v>6535.5682374587</v>
      </c>
      <c r="AF39" s="43" t="n">
        <f aca="false">IF(AND(Eingaben!$C$31=1,Eingaben!$C$28=1,M39&gt;0),MIN(AA39-J39,5*(AE39-J39)),AA39-J39)</f>
        <v>0</v>
      </c>
      <c r="AG39" s="43" t="n">
        <f aca="false">M39-T39-AF39-U39+W39</f>
        <v>0</v>
      </c>
      <c r="AH39" s="43" t="n">
        <f aca="false">MAX(0,(AH38-AI38)*(1+Parameter!$C$61))</f>
        <v>0</v>
      </c>
      <c r="AI39" s="43" t="n">
        <f aca="false">IF(F39=0,0,MIN(AH39,Ansparphase!$AY$57*IF(31=0,Eingaben!$C$42,0)+(Ansparphase!$AY$57*(1-Eingaben!$C$42))*$CG$4))</f>
        <v>0</v>
      </c>
      <c r="AJ39" s="43" t="n">
        <f aca="false">MAX(0,(AJ38-AK38)*(1+Parameter!$C$61))</f>
        <v>0</v>
      </c>
      <c r="AK39" s="43" t="n">
        <f aca="false">IF(F39=0,0,MIN(AJ39,Ansparphase!$AZ$57*IF(31=0,Eingaben!$C$42,0)+(Ansparphase!$AZ$57*(1-Eingaben!$C$42))*$CG$4))</f>
        <v>0</v>
      </c>
      <c r="AL39" s="43" t="n">
        <f aca="false">MAX(0,(AL38-AM38)*(1+Parameter!$C$62))</f>
        <v>0</v>
      </c>
      <c r="AM39" s="43" t="n">
        <f aca="false">IF(F39=0,0,MIN(AL39,Ansparphase!$BA$57*$CG$5))</f>
        <v>0</v>
      </c>
      <c r="AN39" s="43" t="n">
        <f aca="false">MAX(0,AM39*(1-IF(Ansparphase!$BA$57=0,1,MIN(1,Ansparphase!$BB$57/Ansparphase!$BA$57)))*(1-Parameter!$C$37))*Parameter!$C$36</f>
        <v>0</v>
      </c>
      <c r="AO39" s="43" t="n">
        <f aca="false">AI39+AK39*(1-IF(Ansparphase!$AZ$57=0,1,MIN(1,$CG$7/Ansparphase!$AZ$57)))*Parameter!$C$52</f>
        <v>0</v>
      </c>
      <c r="AP39" s="43" t="n">
        <f aca="false">MAX(0,G39+AO39)</f>
        <v>69379.7360092648</v>
      </c>
      <c r="AQ39" s="43" t="n">
        <f aca="false">MAX(0,(AP39+IF(Eingaben!$C$14=3,Eingaben!$C$15,0))/Parameter!$C$57/D39)</f>
        <v>22000</v>
      </c>
      <c r="AR39" s="43" t="n">
        <f aca="false">Parameter!$C$57*D39*(IF(AQ39&lt;=Parameter!$C$18,0,IF(AQ39&lt;=Parameter!$C$19,(Parameter!$C$22*(AQ39-Parameter!$C$18)/10000+Parameter!$C$23)*(AQ39-Parameter!$C$18)/10000,IF(AQ39&lt;=Parameter!$C$20,(Parameter!$C$24*(AQ39-Parameter!$C$19)/10000+Parameter!$C$25)*(AQ39-Parameter!$C$19)/10000+Parameter!$C$26,IF(AQ39&lt;=Parameter!$C$21,0.42*AQ39-Parameter!$C$27,0.45*AQ39-Parameter!$C$28)))))</f>
        <v>6535.5682374587</v>
      </c>
      <c r="AS39" s="43" t="n">
        <f aca="false">AR39+IF(AR39&lt;=(Parameter!$C$30*Parameter!$C$57*D39),0,MIN(Parameter!$C$29*AR39,Parameter!$C$31*(AR39-(Parameter!$C$30*Parameter!$C$57*D39))))+Eingaben!$C$16*AR39</f>
        <v>6535.5682374587</v>
      </c>
      <c r="AT39" s="43" t="n">
        <f aca="false">AI39+AK39-(AS39-J39)+AM39-AN39</f>
        <v>0</v>
      </c>
      <c r="AU39" s="43" t="n">
        <f aca="false">MAX(0,(AU38-AW38)*(1+Parameter!$C$62))</f>
        <v>0</v>
      </c>
      <c r="AV39" s="43" t="n">
        <f aca="false">MAX(0,AV38-AV38*IF(AU38=0,0,AW38/AU38))</f>
        <v>0</v>
      </c>
      <c r="AW39" s="43" t="n">
        <f aca="false">IF(F39=0,0,MIN(AU39,Ansparphase!$BE$57*$CG$5))</f>
        <v>0</v>
      </c>
      <c r="AX39" s="43" t="n">
        <f aca="false">AW39-IF(AU39=0,0,AV39*AW39/AU39)</f>
        <v>0</v>
      </c>
      <c r="AY39" s="43" t="n">
        <f aca="false">MAX(0,AX39*(1-Parameter!$C$37)-Parameter!$C$67)*Parameter!$C$36</f>
        <v>0</v>
      </c>
      <c r="AZ39" s="43" t="n">
        <f aca="false">AW39-AY39</f>
        <v>0</v>
      </c>
      <c r="BA39" s="41" t="n">
        <f aca="false">1/(1+Eingaben!$C$37)^C39</f>
        <v>0.317095470024016</v>
      </c>
      <c r="BB39" s="43" t="n">
        <f aca="false">IF(AND(Eingaben!$C$28=2,F39=0),(Ansparphase!$AW$57+Ansparphase!$AX$57)*Eingaben!$C$29/10000*12*(1+Eingaben!$C$30)^31,0)</f>
        <v>0</v>
      </c>
      <c r="BC39" s="41" t="n">
        <f aca="false">1/(1+Parameter!$C$68)^31</f>
        <v>0.187711037537822</v>
      </c>
    </row>
    <row r="40" customFormat="false" ht="15" hidden="false" customHeight="false" outlineLevel="0" collapsed="false">
      <c r="A40" s="30" t="n">
        <f aca="false">2026+C40</f>
        <v>2085</v>
      </c>
      <c r="B40" s="30" t="n">
        <f aca="false">Eingaben!$C$6+32</f>
        <v>99</v>
      </c>
      <c r="C40" s="30" t="n">
        <f aca="false">B40-Eingaben!$C$5</f>
        <v>59</v>
      </c>
      <c r="D40" s="38" t="n">
        <f aca="false">(1+Eingaben!$C$17)^C40</f>
        <v>3.21669685133864</v>
      </c>
      <c r="E40" s="38" t="n">
        <f aca="false">(1+Eingaben!$C$13)^C40</f>
        <v>4.29247780372198</v>
      </c>
      <c r="F40" s="30" t="n">
        <f aca="false">IF(B40&lt;=Eingaben!$C$7,1,0)</f>
        <v>0</v>
      </c>
      <c r="G40" s="40" t="n">
        <f aca="false">Eingaben!$C$40*(1+Eingaben!$C$37)^C40</f>
        <v>70767.3307294501</v>
      </c>
      <c r="H40" s="40" t="n">
        <f aca="false">MAX(0,(G40+IF(Eingaben!$C$14=3,Eingaben!$C$15,0))/Parameter!$C$57/D40)</f>
        <v>22000</v>
      </c>
      <c r="I40" s="40" t="n">
        <f aca="false">Parameter!$C$57*D40*(IF(H40&lt;=Parameter!$C$18,0,IF(H40&lt;=Parameter!$C$19,(Parameter!$C$22*(H40-Parameter!$C$18)/10000+Parameter!$C$23)*(H40-Parameter!$C$18)/10000,IF(H40&lt;=Parameter!$C$20,(Parameter!$C$24*(H40-Parameter!$C$19)/10000+Parameter!$C$25)*(H40-Parameter!$C$19)/10000+Parameter!$C$26,IF(H40&lt;=Parameter!$C$21,0.42*H40-Parameter!$C$27,0.45*H40-Parameter!$C$28)))))</f>
        <v>6666.27960220788</v>
      </c>
      <c r="J40" s="40" t="n">
        <f aca="false">I40+IF(I40&lt;=(Parameter!$C$30*Parameter!$C$57*D40),0,MIN(Parameter!$C$29*I40,Parameter!$C$31*(I40-(Parameter!$C$30*Parameter!$C$57*D40))))+Eingaben!$C$16*I40</f>
        <v>6666.27960220788</v>
      </c>
      <c r="K40" s="40" t="n">
        <f aca="false">IF(Eingaben!$C$28=1,IF(0=1,Ansparphase!$AW$57,0),(Ansparphase!$AW$57+Ansparphase!$AX$57)*Eingaben!$C$29/10000*12*(1+Eingaben!$C$30)^32*F40*IF((Ansparphase!$AW$57+Ansparphase!$AX$57)=0,0,Ansparphase!$AW$57/(Ansparphase!$AW$57+Ansparphase!$AX$57)))</f>
        <v>0</v>
      </c>
      <c r="L40" s="40" t="n">
        <f aca="false">IF(Eingaben!$C$28=1,IF(0=1,Ansparphase!$AX$57,0),(Ansparphase!$AW$57+Ansparphase!$AX$57)*Eingaben!$C$29/10000*12*(1+Eingaben!$C$30)^32*F40*IF((Ansparphase!$AW$57+Ansparphase!$AX$57)=0,0,Ansparphase!$AX$57/(Ansparphase!$AW$57+Ansparphase!$AX$57)))</f>
        <v>0</v>
      </c>
      <c r="M40" s="40" t="n">
        <f aca="false">K40+L40</f>
        <v>0</v>
      </c>
      <c r="N40" s="40" t="n">
        <f aca="false">K40+L40*IF(Eingaben!$C$28=1,(1-IF(Ansparphase!$AX$57=0,1,MIN(1,$CG$8/Ansparphase!$AX$57)))*Parameter!$C$52,Parameter!$C$51)</f>
        <v>0</v>
      </c>
      <c r="O40" s="40" t="n">
        <f aca="false">IF(Eingaben!$C$28=1,IF(32&lt;10,(Ansparphase!$AW$57+Ansparphase!$AX$57)/120,0),M40/12)</f>
        <v>0</v>
      </c>
      <c r="P40" s="40" t="n">
        <f aca="false">Eingaben!$C$41/12*(1+Eingaben!$C$13)^C40</f>
        <v>8584.95560744395</v>
      </c>
      <c r="Q40" s="40" t="n">
        <f aca="false">MAX(0,MIN(O40,Parameter!$C$5/12*E40-P40))</f>
        <v>0</v>
      </c>
      <c r="R40" s="40" t="n">
        <f aca="false">IF(Eingaben!$C$39=2,0,MAX(0,Q40-Parameter!$C$7*E40)*Parameter!$C$54*12)</f>
        <v>0</v>
      </c>
      <c r="S40" s="40" t="n">
        <f aca="false">IF(Eingaben!$C$39=2,0,IF(O40&gt;Parameter!$C$7*E40,Q40*Parameter!$C$59*12,0))</f>
        <v>0</v>
      </c>
      <c r="T40" s="40" t="n">
        <f aca="false">R40+S40</f>
        <v>0</v>
      </c>
      <c r="U40" s="40" t="n">
        <f aca="false">Ansparphase!$BJ$57*Parameter!$C$9*12*(1+Eingaben!$C$13)^(Eingaben!$C$6-Eingaben!$C$5)*(1+Eingaben!$C$13)^32*F40</f>
        <v>0</v>
      </c>
      <c r="V40" s="40" t="n">
        <f aca="false">U40*Parameter!$C$66</f>
        <v>0</v>
      </c>
      <c r="W40" s="40" t="n">
        <f aca="false">IF(Eingaben!$C$39=2,0,U40*(Parameter!$C$53+Parameter!$C$59))</f>
        <v>0</v>
      </c>
      <c r="X40" s="40" t="n">
        <f aca="false">MAX(0,G40-V40+N40-T40+W40)</f>
        <v>70767.3307294501</v>
      </c>
      <c r="Y40" s="40" t="n">
        <f aca="false">MAX(0,(X40+IF(Eingaben!$C$14=3,Eingaben!$C$15,0))/Parameter!$C$57/D40)</f>
        <v>22000</v>
      </c>
      <c r="Z40" s="40" t="n">
        <f aca="false">Parameter!$C$57*D40*(IF(Y40&lt;=Parameter!$C$18,0,IF(Y40&lt;=Parameter!$C$19,(Parameter!$C$22*(Y40-Parameter!$C$18)/10000+Parameter!$C$23)*(Y40-Parameter!$C$18)/10000,IF(Y40&lt;=Parameter!$C$20,(Parameter!$C$24*(Y40-Parameter!$C$19)/10000+Parameter!$C$25)*(Y40-Parameter!$C$19)/10000+Parameter!$C$26,IF(Y40&lt;=Parameter!$C$21,0.42*Y40-Parameter!$C$27,0.45*Y40-Parameter!$C$28)))))</f>
        <v>6666.27960220788</v>
      </c>
      <c r="AA40" s="40" t="n">
        <f aca="false">Z40+IF(Z40&lt;=(Parameter!$C$30*Parameter!$C$57*D40),0,MIN(Parameter!$C$29*Z40,Parameter!$C$31*(Z40-(Parameter!$C$30*Parameter!$C$57*D40))))+Eingaben!$C$16*Z40</f>
        <v>6666.27960220788</v>
      </c>
      <c r="AB40" s="40" t="n">
        <f aca="false">MAX(0,G40-V40+N40/5-T40+W40)</f>
        <v>70767.3307294501</v>
      </c>
      <c r="AC40" s="40" t="n">
        <f aca="false">MAX(0,(AB40+IF(Eingaben!$C$14=3,Eingaben!$C$15,0))/Parameter!$C$57/D40)</f>
        <v>22000</v>
      </c>
      <c r="AD40" s="40" t="n">
        <f aca="false">Parameter!$C$57*D40*(IF(AC40&lt;=Parameter!$C$18,0,IF(AC40&lt;=Parameter!$C$19,(Parameter!$C$22*(AC40-Parameter!$C$18)/10000+Parameter!$C$23)*(AC40-Parameter!$C$18)/10000,IF(AC40&lt;=Parameter!$C$20,(Parameter!$C$24*(AC40-Parameter!$C$19)/10000+Parameter!$C$25)*(AC40-Parameter!$C$19)/10000+Parameter!$C$26,IF(AC40&lt;=Parameter!$C$21,0.42*AC40-Parameter!$C$27,0.45*AC40-Parameter!$C$28)))))</f>
        <v>6666.27960220788</v>
      </c>
      <c r="AE40" s="40" t="n">
        <f aca="false">AD40+IF(AD40&lt;=(Parameter!$C$30*Parameter!$C$57*D40),0,MIN(Parameter!$C$29*AD40,Parameter!$C$31*(AD40-(Parameter!$C$30*Parameter!$C$57*D40))))+Eingaben!$C$16*AD40</f>
        <v>6666.27960220788</v>
      </c>
      <c r="AF40" s="40" t="n">
        <f aca="false">IF(AND(Eingaben!$C$31=1,Eingaben!$C$28=1,M40&gt;0),MIN(AA40-J40,5*(AE40-J40)),AA40-J40)</f>
        <v>0</v>
      </c>
      <c r="AG40" s="40" t="n">
        <f aca="false">M40-T40-AF40-U40+W40</f>
        <v>0</v>
      </c>
      <c r="AH40" s="40" t="n">
        <f aca="false">MAX(0,(AH39-AI39)*(1+Parameter!$C$61))</f>
        <v>0</v>
      </c>
      <c r="AI40" s="40" t="n">
        <f aca="false">IF(F40=0,0,MIN(AH40,Ansparphase!$AY$57*IF(32=0,Eingaben!$C$42,0)+(Ansparphase!$AY$57*(1-Eingaben!$C$42))*$CG$4))</f>
        <v>0</v>
      </c>
      <c r="AJ40" s="40" t="n">
        <f aca="false">MAX(0,(AJ39-AK39)*(1+Parameter!$C$61))</f>
        <v>0</v>
      </c>
      <c r="AK40" s="40" t="n">
        <f aca="false">IF(F40=0,0,MIN(AJ40,Ansparphase!$AZ$57*IF(32=0,Eingaben!$C$42,0)+(Ansparphase!$AZ$57*(1-Eingaben!$C$42))*$CG$4))</f>
        <v>0</v>
      </c>
      <c r="AL40" s="40" t="n">
        <f aca="false">MAX(0,(AL39-AM39)*(1+Parameter!$C$62))</f>
        <v>0</v>
      </c>
      <c r="AM40" s="40" t="n">
        <f aca="false">IF(F40=0,0,MIN(AL40,Ansparphase!$BA$57*$CG$5))</f>
        <v>0</v>
      </c>
      <c r="AN40" s="40" t="n">
        <f aca="false">MAX(0,AM40*(1-IF(Ansparphase!$BA$57=0,1,MIN(1,Ansparphase!$BB$57/Ansparphase!$BA$57)))*(1-Parameter!$C$37))*Parameter!$C$36</f>
        <v>0</v>
      </c>
      <c r="AO40" s="40" t="n">
        <f aca="false">AI40+AK40*(1-IF(Ansparphase!$AZ$57=0,1,MIN(1,$CG$7/Ansparphase!$AZ$57)))*Parameter!$C$52</f>
        <v>0</v>
      </c>
      <c r="AP40" s="40" t="n">
        <f aca="false">MAX(0,G40+AO40)</f>
        <v>70767.3307294501</v>
      </c>
      <c r="AQ40" s="40" t="n">
        <f aca="false">MAX(0,(AP40+IF(Eingaben!$C$14=3,Eingaben!$C$15,0))/Parameter!$C$57/D40)</f>
        <v>22000</v>
      </c>
      <c r="AR40" s="40" t="n">
        <f aca="false">Parameter!$C$57*D40*(IF(AQ40&lt;=Parameter!$C$18,0,IF(AQ40&lt;=Parameter!$C$19,(Parameter!$C$22*(AQ40-Parameter!$C$18)/10000+Parameter!$C$23)*(AQ40-Parameter!$C$18)/10000,IF(AQ40&lt;=Parameter!$C$20,(Parameter!$C$24*(AQ40-Parameter!$C$19)/10000+Parameter!$C$25)*(AQ40-Parameter!$C$19)/10000+Parameter!$C$26,IF(AQ40&lt;=Parameter!$C$21,0.42*AQ40-Parameter!$C$27,0.45*AQ40-Parameter!$C$28)))))</f>
        <v>6666.27960220788</v>
      </c>
      <c r="AS40" s="40" t="n">
        <f aca="false">AR40+IF(AR40&lt;=(Parameter!$C$30*Parameter!$C$57*D40),0,MIN(Parameter!$C$29*AR40,Parameter!$C$31*(AR40-(Parameter!$C$30*Parameter!$C$57*D40))))+Eingaben!$C$16*AR40</f>
        <v>6666.27960220788</v>
      </c>
      <c r="AT40" s="40" t="n">
        <f aca="false">AI40+AK40-(AS40-J40)+AM40-AN40</f>
        <v>0</v>
      </c>
      <c r="AU40" s="40" t="n">
        <f aca="false">MAX(0,(AU39-AW39)*(1+Parameter!$C$62))</f>
        <v>0</v>
      </c>
      <c r="AV40" s="40" t="n">
        <f aca="false">MAX(0,AV39-AV39*IF(AU39=0,0,AW39/AU39))</f>
        <v>0</v>
      </c>
      <c r="AW40" s="40" t="n">
        <f aca="false">IF(F40=0,0,MIN(AU40,Ansparphase!$BE$57*$CG$5))</f>
        <v>0</v>
      </c>
      <c r="AX40" s="40" t="n">
        <f aca="false">AW40-IF(AU40=0,0,AV40*AW40/AU40)</f>
        <v>0</v>
      </c>
      <c r="AY40" s="40" t="n">
        <f aca="false">MAX(0,AX40*(1-Parameter!$C$37)-Parameter!$C$67)*Parameter!$C$36</f>
        <v>0</v>
      </c>
      <c r="AZ40" s="40" t="n">
        <f aca="false">AW40-AY40</f>
        <v>0</v>
      </c>
      <c r="BA40" s="38" t="n">
        <f aca="false">1/(1+Eingaben!$C$37)^C40</f>
        <v>0.310877911788251</v>
      </c>
      <c r="BB40" s="40" t="n">
        <f aca="false">IF(AND(Eingaben!$C$28=2,F40=0),(Ansparphase!$AW$57+Ansparphase!$AX$57)*Eingaben!$C$29/10000*12*(1+Eingaben!$C$30)^32,0)</f>
        <v>0</v>
      </c>
      <c r="BC40" s="38" t="n">
        <f aca="false">1/(1+Parameter!$C$68)^32</f>
        <v>0.177850052454458</v>
      </c>
    </row>
    <row r="41" customFormat="false" ht="15" hidden="false" customHeight="false" outlineLevel="0" collapsed="false">
      <c r="A41" s="32" t="n">
        <f aca="false">2026+C41</f>
        <v>2086</v>
      </c>
      <c r="B41" s="32" t="n">
        <f aca="false">Eingaben!$C$6+33</f>
        <v>100</v>
      </c>
      <c r="C41" s="32" t="n">
        <f aca="false">B41-Eingaben!$C$5</f>
        <v>60</v>
      </c>
      <c r="D41" s="41" t="n">
        <f aca="false">(1+Eingaben!$C$17)^C41</f>
        <v>3.28103078836541</v>
      </c>
      <c r="E41" s="41" t="n">
        <f aca="false">(1+Eingaben!$C$13)^C41</f>
        <v>4.39978974881502</v>
      </c>
      <c r="F41" s="32" t="n">
        <f aca="false">IF(B41&lt;=Eingaben!$C$7,1,0)</f>
        <v>0</v>
      </c>
      <c r="G41" s="43" t="n">
        <f aca="false">Eingaben!$C$40*(1+Eingaben!$C$37)^C41</f>
        <v>72182.6773440391</v>
      </c>
      <c r="H41" s="43" t="n">
        <f aca="false">MAX(0,(G41+IF(Eingaben!$C$14=3,Eingaben!$C$15,0))/Parameter!$C$57/D41)</f>
        <v>22000</v>
      </c>
      <c r="I41" s="43" t="n">
        <f aca="false">Parameter!$C$57*D41*(IF(H41&lt;=Parameter!$C$18,0,IF(H41&lt;=Parameter!$C$19,(Parameter!$C$22*(H41-Parameter!$C$18)/10000+Parameter!$C$23)*(H41-Parameter!$C$18)/10000,IF(H41&lt;=Parameter!$C$20,(Parameter!$C$24*(H41-Parameter!$C$19)/10000+Parameter!$C$25)*(H41-Parameter!$C$19)/10000+Parameter!$C$26,IF(H41&lt;=Parameter!$C$21,0.42*H41-Parameter!$C$27,0.45*H41-Parameter!$C$28)))))</f>
        <v>6799.60519425204</v>
      </c>
      <c r="J41" s="43" t="n">
        <f aca="false">I41+IF(I41&lt;=(Parameter!$C$30*Parameter!$C$57*D41),0,MIN(Parameter!$C$29*I41,Parameter!$C$31*(I41-(Parameter!$C$30*Parameter!$C$57*D41))))+Eingaben!$C$16*I41</f>
        <v>6799.60519425204</v>
      </c>
      <c r="K41" s="43" t="n">
        <f aca="false">IF(Eingaben!$C$28=1,IF(0=1,Ansparphase!$AW$57,0),(Ansparphase!$AW$57+Ansparphase!$AX$57)*Eingaben!$C$29/10000*12*(1+Eingaben!$C$30)^33*F41*IF((Ansparphase!$AW$57+Ansparphase!$AX$57)=0,0,Ansparphase!$AW$57/(Ansparphase!$AW$57+Ansparphase!$AX$57)))</f>
        <v>0</v>
      </c>
      <c r="L41" s="43" t="n">
        <f aca="false">IF(Eingaben!$C$28=1,IF(0=1,Ansparphase!$AX$57,0),(Ansparphase!$AW$57+Ansparphase!$AX$57)*Eingaben!$C$29/10000*12*(1+Eingaben!$C$30)^33*F41*IF((Ansparphase!$AW$57+Ansparphase!$AX$57)=0,0,Ansparphase!$AX$57/(Ansparphase!$AW$57+Ansparphase!$AX$57)))</f>
        <v>0</v>
      </c>
      <c r="M41" s="43" t="n">
        <f aca="false">K41+L41</f>
        <v>0</v>
      </c>
      <c r="N41" s="43" t="n">
        <f aca="false">K41+L41*IF(Eingaben!$C$28=1,(1-IF(Ansparphase!$AX$57=0,1,MIN(1,$CG$8/Ansparphase!$AX$57)))*Parameter!$C$52,Parameter!$C$51)</f>
        <v>0</v>
      </c>
      <c r="O41" s="43" t="n">
        <f aca="false">IF(Eingaben!$C$28=1,IF(33&lt;10,(Ansparphase!$AW$57+Ansparphase!$AX$57)/120,0),M41/12)</f>
        <v>0</v>
      </c>
      <c r="P41" s="43" t="n">
        <f aca="false">Eingaben!$C$41/12*(1+Eingaben!$C$13)^C41</f>
        <v>8799.57949763005</v>
      </c>
      <c r="Q41" s="43" t="n">
        <f aca="false">MAX(0,MIN(O41,Parameter!$C$5/12*E41-P41))</f>
        <v>0</v>
      </c>
      <c r="R41" s="43" t="n">
        <f aca="false">IF(Eingaben!$C$39=2,0,MAX(0,Q41-Parameter!$C$7*E41)*Parameter!$C$54*12)</f>
        <v>0</v>
      </c>
      <c r="S41" s="43" t="n">
        <f aca="false">IF(Eingaben!$C$39=2,0,IF(O41&gt;Parameter!$C$7*E41,Q41*Parameter!$C$59*12,0))</f>
        <v>0</v>
      </c>
      <c r="T41" s="43" t="n">
        <f aca="false">R41+S41</f>
        <v>0</v>
      </c>
      <c r="U41" s="43" t="n">
        <f aca="false">Ansparphase!$BJ$57*Parameter!$C$9*12*(1+Eingaben!$C$13)^(Eingaben!$C$6-Eingaben!$C$5)*(1+Eingaben!$C$13)^33*F41</f>
        <v>0</v>
      </c>
      <c r="V41" s="43" t="n">
        <f aca="false">U41*Parameter!$C$66</f>
        <v>0</v>
      </c>
      <c r="W41" s="43" t="n">
        <f aca="false">IF(Eingaben!$C$39=2,0,U41*(Parameter!$C$53+Parameter!$C$59))</f>
        <v>0</v>
      </c>
      <c r="X41" s="43" t="n">
        <f aca="false">MAX(0,G41-V41+N41-T41+W41)</f>
        <v>72182.6773440391</v>
      </c>
      <c r="Y41" s="43" t="n">
        <f aca="false">MAX(0,(X41+IF(Eingaben!$C$14=3,Eingaben!$C$15,0))/Parameter!$C$57/D41)</f>
        <v>22000</v>
      </c>
      <c r="Z41" s="43" t="n">
        <f aca="false">Parameter!$C$57*D41*(IF(Y41&lt;=Parameter!$C$18,0,IF(Y41&lt;=Parameter!$C$19,(Parameter!$C$22*(Y41-Parameter!$C$18)/10000+Parameter!$C$23)*(Y41-Parameter!$C$18)/10000,IF(Y41&lt;=Parameter!$C$20,(Parameter!$C$24*(Y41-Parameter!$C$19)/10000+Parameter!$C$25)*(Y41-Parameter!$C$19)/10000+Parameter!$C$26,IF(Y41&lt;=Parameter!$C$21,0.42*Y41-Parameter!$C$27,0.45*Y41-Parameter!$C$28)))))</f>
        <v>6799.60519425204</v>
      </c>
      <c r="AA41" s="43" t="n">
        <f aca="false">Z41+IF(Z41&lt;=(Parameter!$C$30*Parameter!$C$57*D41),0,MIN(Parameter!$C$29*Z41,Parameter!$C$31*(Z41-(Parameter!$C$30*Parameter!$C$57*D41))))+Eingaben!$C$16*Z41</f>
        <v>6799.60519425204</v>
      </c>
      <c r="AB41" s="43" t="n">
        <f aca="false">MAX(0,G41-V41+N41/5-T41+W41)</f>
        <v>72182.6773440391</v>
      </c>
      <c r="AC41" s="43" t="n">
        <f aca="false">MAX(0,(AB41+IF(Eingaben!$C$14=3,Eingaben!$C$15,0))/Parameter!$C$57/D41)</f>
        <v>22000</v>
      </c>
      <c r="AD41" s="43" t="n">
        <f aca="false">Parameter!$C$57*D41*(IF(AC41&lt;=Parameter!$C$18,0,IF(AC41&lt;=Parameter!$C$19,(Parameter!$C$22*(AC41-Parameter!$C$18)/10000+Parameter!$C$23)*(AC41-Parameter!$C$18)/10000,IF(AC41&lt;=Parameter!$C$20,(Parameter!$C$24*(AC41-Parameter!$C$19)/10000+Parameter!$C$25)*(AC41-Parameter!$C$19)/10000+Parameter!$C$26,IF(AC41&lt;=Parameter!$C$21,0.42*AC41-Parameter!$C$27,0.45*AC41-Parameter!$C$28)))))</f>
        <v>6799.60519425204</v>
      </c>
      <c r="AE41" s="43" t="n">
        <f aca="false">AD41+IF(AD41&lt;=(Parameter!$C$30*Parameter!$C$57*D41),0,MIN(Parameter!$C$29*AD41,Parameter!$C$31*(AD41-(Parameter!$C$30*Parameter!$C$57*D41))))+Eingaben!$C$16*AD41</f>
        <v>6799.60519425204</v>
      </c>
      <c r="AF41" s="43" t="n">
        <f aca="false">IF(AND(Eingaben!$C$31=1,Eingaben!$C$28=1,M41&gt;0),MIN(AA41-J41,5*(AE41-J41)),AA41-J41)</f>
        <v>0</v>
      </c>
      <c r="AG41" s="43" t="n">
        <f aca="false">M41-T41-AF41-U41+W41</f>
        <v>0</v>
      </c>
      <c r="AH41" s="43" t="n">
        <f aca="false">MAX(0,(AH40-AI40)*(1+Parameter!$C$61))</f>
        <v>0</v>
      </c>
      <c r="AI41" s="43" t="n">
        <f aca="false">IF(F41=0,0,MIN(AH41,Ansparphase!$AY$57*IF(33=0,Eingaben!$C$42,0)+(Ansparphase!$AY$57*(1-Eingaben!$C$42))*$CG$4))</f>
        <v>0</v>
      </c>
      <c r="AJ41" s="43" t="n">
        <f aca="false">MAX(0,(AJ40-AK40)*(1+Parameter!$C$61))</f>
        <v>0</v>
      </c>
      <c r="AK41" s="43" t="n">
        <f aca="false">IF(F41=0,0,MIN(AJ41,Ansparphase!$AZ$57*IF(33=0,Eingaben!$C$42,0)+(Ansparphase!$AZ$57*(1-Eingaben!$C$42))*$CG$4))</f>
        <v>0</v>
      </c>
      <c r="AL41" s="43" t="n">
        <f aca="false">MAX(0,(AL40-AM40)*(1+Parameter!$C$62))</f>
        <v>0</v>
      </c>
      <c r="AM41" s="43" t="n">
        <f aca="false">IF(F41=0,0,MIN(AL41,Ansparphase!$BA$57*$CG$5))</f>
        <v>0</v>
      </c>
      <c r="AN41" s="43" t="n">
        <f aca="false">MAX(0,AM41*(1-IF(Ansparphase!$BA$57=0,1,MIN(1,Ansparphase!$BB$57/Ansparphase!$BA$57)))*(1-Parameter!$C$37))*Parameter!$C$36</f>
        <v>0</v>
      </c>
      <c r="AO41" s="43" t="n">
        <f aca="false">AI41+AK41*(1-IF(Ansparphase!$AZ$57=0,1,MIN(1,$CG$7/Ansparphase!$AZ$57)))*Parameter!$C$52</f>
        <v>0</v>
      </c>
      <c r="AP41" s="43" t="n">
        <f aca="false">MAX(0,G41+AO41)</f>
        <v>72182.6773440391</v>
      </c>
      <c r="AQ41" s="43" t="n">
        <f aca="false">MAX(0,(AP41+IF(Eingaben!$C$14=3,Eingaben!$C$15,0))/Parameter!$C$57/D41)</f>
        <v>22000</v>
      </c>
      <c r="AR41" s="43" t="n">
        <f aca="false">Parameter!$C$57*D41*(IF(AQ41&lt;=Parameter!$C$18,0,IF(AQ41&lt;=Parameter!$C$19,(Parameter!$C$22*(AQ41-Parameter!$C$18)/10000+Parameter!$C$23)*(AQ41-Parameter!$C$18)/10000,IF(AQ41&lt;=Parameter!$C$20,(Parameter!$C$24*(AQ41-Parameter!$C$19)/10000+Parameter!$C$25)*(AQ41-Parameter!$C$19)/10000+Parameter!$C$26,IF(AQ41&lt;=Parameter!$C$21,0.42*AQ41-Parameter!$C$27,0.45*AQ41-Parameter!$C$28)))))</f>
        <v>6799.60519425204</v>
      </c>
      <c r="AS41" s="43" t="n">
        <f aca="false">AR41+IF(AR41&lt;=(Parameter!$C$30*Parameter!$C$57*D41),0,MIN(Parameter!$C$29*AR41,Parameter!$C$31*(AR41-(Parameter!$C$30*Parameter!$C$57*D41))))+Eingaben!$C$16*AR41</f>
        <v>6799.60519425204</v>
      </c>
      <c r="AT41" s="43" t="n">
        <f aca="false">AI41+AK41-(AS41-J41)+AM41-AN41</f>
        <v>0</v>
      </c>
      <c r="AU41" s="43" t="n">
        <f aca="false">MAX(0,(AU40-AW40)*(1+Parameter!$C$62))</f>
        <v>0</v>
      </c>
      <c r="AV41" s="43" t="n">
        <f aca="false">MAX(0,AV40-AV40*IF(AU40=0,0,AW40/AU40))</f>
        <v>0</v>
      </c>
      <c r="AW41" s="43" t="n">
        <f aca="false">IF(F41=0,0,MIN(AU41,Ansparphase!$BE$57*$CG$5))</f>
        <v>0</v>
      </c>
      <c r="AX41" s="43" t="n">
        <f aca="false">AW41-IF(AU41=0,0,AV41*AW41/AU41)</f>
        <v>0</v>
      </c>
      <c r="AY41" s="43" t="n">
        <f aca="false">MAX(0,AX41*(1-Parameter!$C$37)-Parameter!$C$67)*Parameter!$C$36</f>
        <v>0</v>
      </c>
      <c r="AZ41" s="43" t="n">
        <f aca="false">AW41-AY41</f>
        <v>0</v>
      </c>
      <c r="BA41" s="41" t="n">
        <f aca="false">1/(1+Eingaben!$C$37)^C41</f>
        <v>0.30478226645907</v>
      </c>
      <c r="BB41" s="43" t="n">
        <f aca="false">IF(AND(Eingaben!$C$28=2,F41=0),(Ansparphase!$AW$57+Ansparphase!$AX$57)*Eingaben!$C$29/10000*12*(1+Eingaben!$C$30)^33,0)</f>
        <v>0</v>
      </c>
      <c r="BC41" s="41" t="n">
        <f aca="false">1/(1+Parameter!$C$68)^33</f>
        <v>0.168507092459495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1" min="1" style="0" width="15"/>
  </cols>
  <sheetData>
    <row r="1" customFormat="false" ht="17.35" hidden="false" customHeight="false" outlineLevel="0" collapsed="false">
      <c r="A1" s="1" t="s">
        <v>595</v>
      </c>
    </row>
    <row r="2" customFormat="false" ht="15" hidden="false" customHeight="false" outlineLevel="0" collapsed="false">
      <c r="A2" s="36" t="s">
        <v>596</v>
      </c>
    </row>
    <row r="4" customFormat="false" ht="30" hidden="false" customHeight="true" outlineLevel="0" collapsed="false">
      <c r="A4" s="29" t="s">
        <v>597</v>
      </c>
      <c r="B4" s="29" t="s">
        <v>480</v>
      </c>
      <c r="C4" s="29" t="s">
        <v>87</v>
      </c>
      <c r="D4" s="29" t="s">
        <v>598</v>
      </c>
      <c r="E4" s="29" t="s">
        <v>599</v>
      </c>
      <c r="F4" s="29" t="s">
        <v>600</v>
      </c>
      <c r="G4" s="29" t="s">
        <v>601</v>
      </c>
      <c r="H4" s="29" t="s">
        <v>602</v>
      </c>
      <c r="I4" s="29" t="s">
        <v>603</v>
      </c>
      <c r="J4" s="29" t="s">
        <v>604</v>
      </c>
      <c r="K4" s="29" t="s">
        <v>605</v>
      </c>
    </row>
    <row r="5" customFormat="false" ht="15" hidden="false" customHeight="false" outlineLevel="0" collapsed="false">
      <c r="A5" s="46" t="n">
        <f aca="false">2026+0</f>
        <v>2026</v>
      </c>
      <c r="B5" s="46" t="n">
        <f aca="false">Eingaben!$C$5+0</f>
        <v>40</v>
      </c>
      <c r="C5" s="45" t="n">
        <f aca="false">IF(0&lt;50,INDEX(Ansparphase!$AG$8:$AG$57,0+1),0)</f>
        <v>1981.16001634104</v>
      </c>
      <c r="D5" s="45" t="n">
        <f aca="false">-$C5+IF(AND($B5&gt;=Eingaben!$C$6,$B5&lt;=Eingaben!$C$6+34-1),INDEX(Auszahlung!$AG$8:$AG$41,$B5-Eingaben!$C$6+1),0)</f>
        <v>-1981.16001634104</v>
      </c>
      <c r="E5" s="45" t="n">
        <f aca="false">-$C5+IF(AND($B5&gt;=Eingaben!$C$6,$B5&lt;=Eingaben!$C$6+34-1),INDEX(Auszahlung!$AT$8:$AT$41,$B5-Eingaben!$C$6+1),0)</f>
        <v>-1981.16001634104</v>
      </c>
      <c r="F5" s="45" t="n">
        <f aca="false">-$C5+IF(AND($B5&gt;=Eingaben!$C$6,$B5&lt;=Eingaben!$C$6+34-1),INDEX(Auszahlung!$AZ$8:$AZ$41,$B5-Eingaben!$C$6+1),0)</f>
        <v>-1981.16001634104</v>
      </c>
      <c r="G5" s="47" t="n">
        <f aca="false">1/(1+Eingaben!$C$37)^0</f>
        <v>1</v>
      </c>
      <c r="H5" s="45" t="n">
        <f aca="false">$G5*(D5+$C5)</f>
        <v>0</v>
      </c>
      <c r="I5" s="45" t="n">
        <f aca="false">$G5*(E5+$C5)</f>
        <v>0</v>
      </c>
      <c r="J5" s="45" t="n">
        <f aca="false">$G5*(F5+$C5)</f>
        <v>0</v>
      </c>
      <c r="K5" s="45" t="n">
        <f aca="false">$G5*$C5</f>
        <v>1981.16001634104</v>
      </c>
    </row>
    <row r="6" customFormat="false" ht="15" hidden="false" customHeight="false" outlineLevel="0" collapsed="false">
      <c r="A6" s="46" t="n">
        <f aca="false">2026+1</f>
        <v>2027</v>
      </c>
      <c r="B6" s="46" t="n">
        <f aca="false">Eingaben!$C$5+1</f>
        <v>41</v>
      </c>
      <c r="C6" s="45" t="n">
        <f aca="false">IF(1&lt;50,INDEX(Ansparphase!$AG$8:$AG$57,1+1),0)</f>
        <v>2027.31399105539</v>
      </c>
      <c r="D6" s="45" t="n">
        <f aca="false">-$C6+IF(AND($B6&gt;=Eingaben!$C$6,$B6&lt;=Eingaben!$C$6+34-1),INDEX(Auszahlung!$AG$8:$AG$41,$B6-Eingaben!$C$6+1),0)</f>
        <v>-2027.31399105539</v>
      </c>
      <c r="E6" s="45" t="n">
        <f aca="false">-$C6+IF(AND($B6&gt;=Eingaben!$C$6,$B6&lt;=Eingaben!$C$6+34-1),INDEX(Auszahlung!$AT$8:$AT$41,$B6-Eingaben!$C$6+1),0)</f>
        <v>-2027.31399105539</v>
      </c>
      <c r="F6" s="45" t="n">
        <f aca="false">-$C6+IF(AND($B6&gt;=Eingaben!$C$6,$B6&lt;=Eingaben!$C$6+34-1),INDEX(Auszahlung!$AZ$8:$AZ$41,$B6-Eingaben!$C$6+1),0)</f>
        <v>-2027.31399105539</v>
      </c>
      <c r="G6" s="47" t="n">
        <f aca="false">1/(1+Eingaben!$C$37)^1</f>
        <v>0.980392156862745</v>
      </c>
      <c r="H6" s="45" t="n">
        <f aca="false">$G6*(D6+$C6)</f>
        <v>0</v>
      </c>
      <c r="I6" s="45" t="n">
        <f aca="false">$G6*(E6+$C6)</f>
        <v>0</v>
      </c>
      <c r="J6" s="45" t="n">
        <f aca="false">$G6*(F6+$C6)</f>
        <v>0</v>
      </c>
      <c r="K6" s="45" t="n">
        <f aca="false">$G6*$C6</f>
        <v>1987.56273632882</v>
      </c>
    </row>
    <row r="7" customFormat="false" ht="15" hidden="false" customHeight="false" outlineLevel="0" collapsed="false">
      <c r="A7" s="46" t="n">
        <f aca="false">2026+2</f>
        <v>2028</v>
      </c>
      <c r="B7" s="46" t="n">
        <f aca="false">Eingaben!$C$5+2</f>
        <v>42</v>
      </c>
      <c r="C7" s="45" t="n">
        <f aca="false">IF(2&lt;50,INDEX(Ansparphase!$AG$8:$AG$57,2+1),0)</f>
        <v>2074.52068711949</v>
      </c>
      <c r="D7" s="45" t="n">
        <f aca="false">-$C7+IF(AND($B7&gt;=Eingaben!$C$6,$B7&lt;=Eingaben!$C$6+34-1),INDEX(Auszahlung!$AG$8:$AG$41,$B7-Eingaben!$C$6+1),0)</f>
        <v>-2074.52068711949</v>
      </c>
      <c r="E7" s="45" t="n">
        <f aca="false">-$C7+IF(AND($B7&gt;=Eingaben!$C$6,$B7&lt;=Eingaben!$C$6+34-1),INDEX(Auszahlung!$AT$8:$AT$41,$B7-Eingaben!$C$6+1),0)</f>
        <v>-2074.52068711949</v>
      </c>
      <c r="F7" s="45" t="n">
        <f aca="false">-$C7+IF(AND($B7&gt;=Eingaben!$C$6,$B7&lt;=Eingaben!$C$6+34-1),INDEX(Auszahlung!$AZ$8:$AZ$41,$B7-Eingaben!$C$6+1),0)</f>
        <v>-2074.52068711949</v>
      </c>
      <c r="G7" s="47" t="n">
        <f aca="false">1/(1+Eingaben!$C$37)^2</f>
        <v>0.961168781237985</v>
      </c>
      <c r="H7" s="45" t="n">
        <f aca="false">$G7*(D7+$C7)</f>
        <v>0</v>
      </c>
      <c r="I7" s="45" t="n">
        <f aca="false">$G7*(E7+$C7)</f>
        <v>0</v>
      </c>
      <c r="J7" s="45" t="n">
        <f aca="false">$G7*(F7+$C7)</f>
        <v>0</v>
      </c>
      <c r="K7" s="45" t="n">
        <f aca="false">$G7*$C7</f>
        <v>1993.96452049163</v>
      </c>
    </row>
    <row r="8" customFormat="false" ht="15" hidden="false" customHeight="false" outlineLevel="0" collapsed="false">
      <c r="A8" s="46" t="n">
        <f aca="false">2026+3</f>
        <v>2029</v>
      </c>
      <c r="B8" s="46" t="n">
        <f aca="false">Eingaben!$C$5+3</f>
        <v>43</v>
      </c>
      <c r="C8" s="45" t="n">
        <f aca="false">IF(3&lt;50,INDEX(Ansparphase!$AG$8:$AG$57,3+1),0)</f>
        <v>2122.80338725515</v>
      </c>
      <c r="D8" s="45" t="n">
        <f aca="false">-$C8+IF(AND($B8&gt;=Eingaben!$C$6,$B8&lt;=Eingaben!$C$6+34-1),INDEX(Auszahlung!$AG$8:$AG$41,$B8-Eingaben!$C$6+1),0)</f>
        <v>-2122.80338725515</v>
      </c>
      <c r="E8" s="45" t="n">
        <f aca="false">-$C8+IF(AND($B8&gt;=Eingaben!$C$6,$B8&lt;=Eingaben!$C$6+34-1),INDEX(Auszahlung!$AT$8:$AT$41,$B8-Eingaben!$C$6+1),0)</f>
        <v>-2122.80338725515</v>
      </c>
      <c r="F8" s="45" t="n">
        <f aca="false">-$C8+IF(AND($B8&gt;=Eingaben!$C$6,$B8&lt;=Eingaben!$C$6+34-1),INDEX(Auszahlung!$AZ$8:$AZ$41,$B8-Eingaben!$C$6+1),0)</f>
        <v>-2122.80338725515</v>
      </c>
      <c r="G8" s="47" t="n">
        <f aca="false">1/(1+Eingaben!$C$37)^3</f>
        <v>0.942322334547044</v>
      </c>
      <c r="H8" s="45" t="n">
        <f aca="false">$G8*(D8+$C8)</f>
        <v>0</v>
      </c>
      <c r="I8" s="45" t="n">
        <f aca="false">$G8*(E8+$C8)</f>
        <v>0</v>
      </c>
      <c r="J8" s="45" t="n">
        <f aca="false">$G8*(F8+$C8)</f>
        <v>0</v>
      </c>
      <c r="K8" s="45" t="n">
        <f aca="false">$G8*$C8</f>
        <v>2000.36504366265</v>
      </c>
    </row>
    <row r="9" customFormat="false" ht="15" hidden="false" customHeight="false" outlineLevel="0" collapsed="false">
      <c r="A9" s="46" t="n">
        <f aca="false">2026+4</f>
        <v>2030</v>
      </c>
      <c r="B9" s="46" t="n">
        <f aca="false">Eingaben!$C$5+4</f>
        <v>44</v>
      </c>
      <c r="C9" s="45" t="n">
        <f aca="false">IF(4&lt;50,INDEX(Ansparphase!$AG$8:$AG$57,4+1),0)</f>
        <v>2172.18586512339</v>
      </c>
      <c r="D9" s="45" t="n">
        <f aca="false">-$C9+IF(AND($B9&gt;=Eingaben!$C$6,$B9&lt;=Eingaben!$C$6+34-1),INDEX(Auszahlung!$AG$8:$AG$41,$B9-Eingaben!$C$6+1),0)</f>
        <v>-2172.18586512339</v>
      </c>
      <c r="E9" s="45" t="n">
        <f aca="false">-$C9+IF(AND($B9&gt;=Eingaben!$C$6,$B9&lt;=Eingaben!$C$6+34-1),INDEX(Auszahlung!$AT$8:$AT$41,$B9-Eingaben!$C$6+1),0)</f>
        <v>-2172.18586512339</v>
      </c>
      <c r="F9" s="45" t="n">
        <f aca="false">-$C9+IF(AND($B9&gt;=Eingaben!$C$6,$B9&lt;=Eingaben!$C$6+34-1),INDEX(Auszahlung!$AZ$8:$AZ$41,$B9-Eingaben!$C$6+1),0)</f>
        <v>-2172.18586512339</v>
      </c>
      <c r="G9" s="47" t="n">
        <f aca="false">1/(1+Eingaben!$C$37)^4</f>
        <v>0.923845426026514</v>
      </c>
      <c r="H9" s="45" t="n">
        <f aca="false">$G9*(D9+$C9)</f>
        <v>0</v>
      </c>
      <c r="I9" s="45" t="n">
        <f aca="false">$G9*(E9+$C9)</f>
        <v>0</v>
      </c>
      <c r="J9" s="45" t="n">
        <f aca="false">$G9*(F9+$C9)</f>
        <v>0</v>
      </c>
      <c r="K9" s="45" t="n">
        <f aca="false">$G9*$C9</f>
        <v>2006.76397597369</v>
      </c>
    </row>
    <row r="10" customFormat="false" ht="15" hidden="false" customHeight="false" outlineLevel="0" collapsed="false">
      <c r="A10" s="46" t="n">
        <f aca="false">2026+5</f>
        <v>2031</v>
      </c>
      <c r="B10" s="46" t="n">
        <f aca="false">Eingaben!$C$5+5</f>
        <v>45</v>
      </c>
      <c r="C10" s="45" t="n">
        <f aca="false">IF(5&lt;50,INDEX(Ansparphase!$AG$8:$AG$57,5+1),0)</f>
        <v>2222.69239486186</v>
      </c>
      <c r="D10" s="45" t="n">
        <f aca="false">-$C10+IF(AND($B10&gt;=Eingaben!$C$6,$B10&lt;=Eingaben!$C$6+34-1),INDEX(Auszahlung!$AG$8:$AG$41,$B10-Eingaben!$C$6+1),0)</f>
        <v>-2222.69239486186</v>
      </c>
      <c r="E10" s="45" t="n">
        <f aca="false">-$C10+IF(AND($B10&gt;=Eingaben!$C$6,$B10&lt;=Eingaben!$C$6+34-1),INDEX(Auszahlung!$AT$8:$AT$41,$B10-Eingaben!$C$6+1),0)</f>
        <v>-2222.69239486186</v>
      </c>
      <c r="F10" s="45" t="n">
        <f aca="false">-$C10+IF(AND($B10&gt;=Eingaben!$C$6,$B10&lt;=Eingaben!$C$6+34-1),INDEX(Auszahlung!$AZ$8:$AZ$41,$B10-Eingaben!$C$6+1),0)</f>
        <v>-2222.69239486186</v>
      </c>
      <c r="G10" s="47" t="n">
        <f aca="false">1/(1+Eingaben!$C$37)^5</f>
        <v>0.905730809829916</v>
      </c>
      <c r="H10" s="45" t="n">
        <f aca="false">$G10*(D10+$C10)</f>
        <v>0</v>
      </c>
      <c r="I10" s="45" t="n">
        <f aca="false">$G10*(E10+$C10)</f>
        <v>0</v>
      </c>
      <c r="J10" s="45" t="n">
        <f aca="false">$G10*(F10+$C10)</f>
        <v>0</v>
      </c>
      <c r="K10" s="45" t="n">
        <f aca="false">$G10*$C10</f>
        <v>2013.16098280103</v>
      </c>
    </row>
    <row r="11" customFormat="false" ht="15" hidden="false" customHeight="false" outlineLevel="0" collapsed="false">
      <c r="A11" s="46" t="n">
        <f aca="false">2026+6</f>
        <v>2032</v>
      </c>
      <c r="B11" s="46" t="n">
        <f aca="false">Eingaben!$C$5+6</f>
        <v>46</v>
      </c>
      <c r="C11" s="45" t="n">
        <f aca="false">IF(6&lt;50,INDEX(Ansparphase!$AG$8:$AG$57,6+1),0)</f>
        <v>2274.34776077857</v>
      </c>
      <c r="D11" s="45" t="n">
        <f aca="false">-$C11+IF(AND($B11&gt;=Eingaben!$C$6,$B11&lt;=Eingaben!$C$6+34-1),INDEX(Auszahlung!$AG$8:$AG$41,$B11-Eingaben!$C$6+1),0)</f>
        <v>-2274.34776077857</v>
      </c>
      <c r="E11" s="45" t="n">
        <f aca="false">-$C11+IF(AND($B11&gt;=Eingaben!$C$6,$B11&lt;=Eingaben!$C$6+34-1),INDEX(Auszahlung!$AT$8:$AT$41,$B11-Eingaben!$C$6+1),0)</f>
        <v>-2274.34776077857</v>
      </c>
      <c r="F11" s="45" t="n">
        <f aca="false">-$C11+IF(AND($B11&gt;=Eingaben!$C$6,$B11&lt;=Eingaben!$C$6+34-1),INDEX(Auszahlung!$AZ$8:$AZ$41,$B11-Eingaben!$C$6+1),0)</f>
        <v>-2274.34776077857</v>
      </c>
      <c r="G11" s="47" t="n">
        <f aca="false">1/(1+Eingaben!$C$37)^6</f>
        <v>0.887971382186192</v>
      </c>
      <c r="H11" s="45" t="n">
        <f aca="false">$G11*(D11+$C11)</f>
        <v>0</v>
      </c>
      <c r="I11" s="45" t="n">
        <f aca="false">$G11*(E11+$C11)</f>
        <v>0</v>
      </c>
      <c r="J11" s="45" t="n">
        <f aca="false">$G11*(F11+$C11)</f>
        <v>0</v>
      </c>
      <c r="K11" s="45" t="n">
        <f aca="false">$G11*$C11</f>
        <v>2019.55572471061</v>
      </c>
    </row>
    <row r="12" customFormat="false" ht="15" hidden="false" customHeight="false" outlineLevel="0" collapsed="false">
      <c r="A12" s="46" t="n">
        <f aca="false">2026+7</f>
        <v>2033</v>
      </c>
      <c r="B12" s="46" t="n">
        <f aca="false">Eingaben!$C$5+7</f>
        <v>47</v>
      </c>
      <c r="C12" s="45" t="n">
        <f aca="false">IF(7&lt;50,INDEX(Ansparphase!$AG$8:$AG$57,7+1),0)</f>
        <v>2327.17726720326</v>
      </c>
      <c r="D12" s="45" t="n">
        <f aca="false">-$C12+IF(AND($B12&gt;=Eingaben!$C$6,$B12&lt;=Eingaben!$C$6+34-1),INDEX(Auszahlung!$AG$8:$AG$41,$B12-Eingaben!$C$6+1),0)</f>
        <v>-2327.17726720326</v>
      </c>
      <c r="E12" s="45" t="n">
        <f aca="false">-$C12+IF(AND($B12&gt;=Eingaben!$C$6,$B12&lt;=Eingaben!$C$6+34-1),INDEX(Auszahlung!$AT$8:$AT$41,$B12-Eingaben!$C$6+1),0)</f>
        <v>-2327.17726720326</v>
      </c>
      <c r="F12" s="45" t="n">
        <f aca="false">-$C12+IF(AND($B12&gt;=Eingaben!$C$6,$B12&lt;=Eingaben!$C$6+34-1),INDEX(Auszahlung!$AZ$8:$AZ$41,$B12-Eingaben!$C$6+1),0)</f>
        <v>-2327.17726720326</v>
      </c>
      <c r="G12" s="47" t="n">
        <f aca="false">1/(1+Eingaben!$C$37)^7</f>
        <v>0.870560178613914</v>
      </c>
      <c r="H12" s="45" t="n">
        <f aca="false">$G12*(D12+$C12)</f>
        <v>0</v>
      </c>
      <c r="I12" s="45" t="n">
        <f aca="false">$G12*(E12+$C12)</f>
        <v>0</v>
      </c>
      <c r="J12" s="45" t="n">
        <f aca="false">$G12*(F12+$C12)</f>
        <v>0</v>
      </c>
      <c r="K12" s="45" t="n">
        <f aca="false">$G12*$C12</f>
        <v>2025.94785740271</v>
      </c>
    </row>
    <row r="13" customFormat="false" ht="15" hidden="false" customHeight="false" outlineLevel="0" collapsed="false">
      <c r="A13" s="46" t="n">
        <f aca="false">2026+8</f>
        <v>2034</v>
      </c>
      <c r="B13" s="46" t="n">
        <f aca="false">Eingaben!$C$5+8</f>
        <v>48</v>
      </c>
      <c r="C13" s="45" t="n">
        <f aca="false">IF(8&lt;50,INDEX(Ansparphase!$AG$8:$AG$57,8+1),0)</f>
        <v>2381.20674849795</v>
      </c>
      <c r="D13" s="45" t="n">
        <f aca="false">-$C13+IF(AND($B13&gt;=Eingaben!$C$6,$B13&lt;=Eingaben!$C$6+34-1),INDEX(Auszahlung!$AG$8:$AG$41,$B13-Eingaben!$C$6+1),0)</f>
        <v>-2381.20674849795</v>
      </c>
      <c r="E13" s="45" t="n">
        <f aca="false">-$C13+IF(AND($B13&gt;=Eingaben!$C$6,$B13&lt;=Eingaben!$C$6+34-1),INDEX(Auszahlung!$AT$8:$AT$41,$B13-Eingaben!$C$6+1),0)</f>
        <v>-2381.20674849795</v>
      </c>
      <c r="F13" s="45" t="n">
        <f aca="false">-$C13+IF(AND($B13&gt;=Eingaben!$C$6,$B13&lt;=Eingaben!$C$6+34-1),INDEX(Auszahlung!$AZ$8:$AZ$41,$B13-Eingaben!$C$6+1),0)</f>
        <v>-2381.20674849795</v>
      </c>
      <c r="G13" s="47" t="n">
        <f aca="false">1/(1+Eingaben!$C$37)^8</f>
        <v>0.853490371190111</v>
      </c>
      <c r="H13" s="45" t="n">
        <f aca="false">$G13*(D13+$C13)</f>
        <v>0</v>
      </c>
      <c r="I13" s="45" t="n">
        <f aca="false">$G13*(E13+$C13)</f>
        <v>0</v>
      </c>
      <c r="J13" s="45" t="n">
        <f aca="false">$G13*(F13+$C13)</f>
        <v>0</v>
      </c>
      <c r="K13" s="45" t="n">
        <f aca="false">$G13*$C13</f>
        <v>2032.33703165591</v>
      </c>
    </row>
    <row r="14" customFormat="false" ht="15" hidden="false" customHeight="false" outlineLevel="0" collapsed="false">
      <c r="A14" s="46" t="n">
        <f aca="false">2026+9</f>
        <v>2035</v>
      </c>
      <c r="B14" s="46" t="n">
        <f aca="false">Eingaben!$C$5+9</f>
        <v>49</v>
      </c>
      <c r="C14" s="45" t="n">
        <f aca="false">IF(9&lt;50,INDEX(Ansparphase!$AG$8:$AG$57,9+1),0)</f>
        <v>2436.46257922803</v>
      </c>
      <c r="D14" s="45" t="n">
        <f aca="false">-$C14+IF(AND($B14&gt;=Eingaben!$C$6,$B14&lt;=Eingaben!$C$6+34-1),INDEX(Auszahlung!$AG$8:$AG$41,$B14-Eingaben!$C$6+1),0)</f>
        <v>-2436.46257922803</v>
      </c>
      <c r="E14" s="45" t="n">
        <f aca="false">-$C14+IF(AND($B14&gt;=Eingaben!$C$6,$B14&lt;=Eingaben!$C$6+34-1),INDEX(Auszahlung!$AT$8:$AT$41,$B14-Eingaben!$C$6+1),0)</f>
        <v>-2436.46257922803</v>
      </c>
      <c r="F14" s="45" t="n">
        <f aca="false">-$C14+IF(AND($B14&gt;=Eingaben!$C$6,$B14&lt;=Eingaben!$C$6+34-1),INDEX(Auszahlung!$AZ$8:$AZ$41,$B14-Eingaben!$C$6+1),0)</f>
        <v>-2436.46257922803</v>
      </c>
      <c r="G14" s="47" t="n">
        <f aca="false">1/(1+Eingaben!$C$37)^9</f>
        <v>0.836755265872658</v>
      </c>
      <c r="H14" s="45" t="n">
        <f aca="false">$G14*(D14+$C14)</f>
        <v>0</v>
      </c>
      <c r="I14" s="45" t="n">
        <f aca="false">$G14*(E14+$C14)</f>
        <v>0</v>
      </c>
      <c r="J14" s="45" t="n">
        <f aca="false">$G14*(F14+$C14)</f>
        <v>0</v>
      </c>
      <c r="K14" s="45" t="n">
        <f aca="false">$G14*$C14</f>
        <v>2038.72289327073</v>
      </c>
    </row>
    <row r="15" customFormat="false" ht="15" hidden="false" customHeight="false" outlineLevel="0" collapsed="false">
      <c r="A15" s="46" t="n">
        <f aca="false">2026+10</f>
        <v>2036</v>
      </c>
      <c r="B15" s="46" t="n">
        <f aca="false">Eingaben!$C$5+10</f>
        <v>50</v>
      </c>
      <c r="C15" s="45" t="n">
        <f aca="false">IF(10&lt;50,INDEX(Ansparphase!$AG$8:$AG$57,10+1),0)</f>
        <v>2492.97168449504</v>
      </c>
      <c r="D15" s="45" t="n">
        <f aca="false">-$C15+IF(AND($B15&gt;=Eingaben!$C$6,$B15&lt;=Eingaben!$C$6+34-1),INDEX(Auszahlung!$AG$8:$AG$41,$B15-Eingaben!$C$6+1),0)</f>
        <v>-2492.97168449504</v>
      </c>
      <c r="E15" s="45" t="n">
        <f aca="false">-$C15+IF(AND($B15&gt;=Eingaben!$C$6,$B15&lt;=Eingaben!$C$6+34-1),INDEX(Auszahlung!$AT$8:$AT$41,$B15-Eingaben!$C$6+1),0)</f>
        <v>-2492.97168449504</v>
      </c>
      <c r="F15" s="45" t="n">
        <f aca="false">-$C15+IF(AND($B15&gt;=Eingaben!$C$6,$B15&lt;=Eingaben!$C$6+34-1),INDEX(Auszahlung!$AZ$8:$AZ$41,$B15-Eingaben!$C$6+1),0)</f>
        <v>-2492.97168449504</v>
      </c>
      <c r="G15" s="47" t="n">
        <f aca="false">1/(1+Eingaben!$C$37)^10</f>
        <v>0.820348299875155</v>
      </c>
      <c r="H15" s="45" t="n">
        <f aca="false">$G15*(D15+$C15)</f>
        <v>0</v>
      </c>
      <c r="I15" s="45" t="n">
        <f aca="false">$G15*(E15+$C15)</f>
        <v>0</v>
      </c>
      <c r="J15" s="45" t="n">
        <f aca="false">$G15*(F15+$C15)</f>
        <v>0</v>
      </c>
      <c r="K15" s="45" t="n">
        <f aca="false">$G15*$C15</f>
        <v>2045.10508301241</v>
      </c>
    </row>
    <row r="16" customFormat="false" ht="15" hidden="false" customHeight="false" outlineLevel="0" collapsed="false">
      <c r="A16" s="46" t="n">
        <f aca="false">2026+11</f>
        <v>2037</v>
      </c>
      <c r="B16" s="46" t="n">
        <f aca="false">Eingaben!$C$5+11</f>
        <v>51</v>
      </c>
      <c r="C16" s="45" t="n">
        <f aca="false">IF(11&lt;50,INDEX(Ansparphase!$AG$8:$AG$57,11+1),0)</f>
        <v>2550.76155043268</v>
      </c>
      <c r="D16" s="45" t="n">
        <f aca="false">-$C16+IF(AND($B16&gt;=Eingaben!$C$6,$B16&lt;=Eingaben!$C$6+34-1),INDEX(Auszahlung!$AG$8:$AG$41,$B16-Eingaben!$C$6+1),0)</f>
        <v>-2550.76155043268</v>
      </c>
      <c r="E16" s="45" t="n">
        <f aca="false">-$C16+IF(AND($B16&gt;=Eingaben!$C$6,$B16&lt;=Eingaben!$C$6+34-1),INDEX(Auszahlung!$AT$8:$AT$41,$B16-Eingaben!$C$6+1),0)</f>
        <v>-2550.76155043268</v>
      </c>
      <c r="F16" s="45" t="n">
        <f aca="false">-$C16+IF(AND($B16&gt;=Eingaben!$C$6,$B16&lt;=Eingaben!$C$6+34-1),INDEX(Auszahlung!$AZ$8:$AZ$41,$B16-Eingaben!$C$6+1),0)</f>
        <v>-2550.76155043268</v>
      </c>
      <c r="G16" s="47" t="n">
        <f aca="false">1/(1+Eingaben!$C$37)^11</f>
        <v>0.804263039093289</v>
      </c>
      <c r="H16" s="45" t="n">
        <f aca="false">$G16*(D16+$C16)</f>
        <v>0</v>
      </c>
      <c r="I16" s="45" t="n">
        <f aca="false">$G16*(E16+$C16)</f>
        <v>0</v>
      </c>
      <c r="J16" s="45" t="n">
        <f aca="false">$G16*(F16+$C16)</f>
        <v>0</v>
      </c>
      <c r="K16" s="45" t="n">
        <f aca="false">$G16*$C16</f>
        <v>2051.48323655329</v>
      </c>
    </row>
    <row r="17" customFormat="false" ht="15" hidden="false" customHeight="false" outlineLevel="0" collapsed="false">
      <c r="A17" s="46" t="n">
        <f aca="false">2026+12</f>
        <v>2038</v>
      </c>
      <c r="B17" s="46" t="n">
        <f aca="false">Eingaben!$C$5+12</f>
        <v>52</v>
      </c>
      <c r="C17" s="45" t="n">
        <f aca="false">IF(12&lt;50,INDEX(Ansparphase!$AG$8:$AG$57,12+1),0)</f>
        <v>2609.86023486692</v>
      </c>
      <c r="D17" s="45" t="n">
        <f aca="false">-$C17+IF(AND($B17&gt;=Eingaben!$C$6,$B17&lt;=Eingaben!$C$6+34-1),INDEX(Auszahlung!$AG$8:$AG$41,$B17-Eingaben!$C$6+1),0)</f>
        <v>-2609.86023486692</v>
      </c>
      <c r="E17" s="45" t="n">
        <f aca="false">-$C17+IF(AND($B17&gt;=Eingaben!$C$6,$B17&lt;=Eingaben!$C$6+34-1),INDEX(Auszahlung!$AT$8:$AT$41,$B17-Eingaben!$C$6+1),0)</f>
        <v>-2609.86023486692</v>
      </c>
      <c r="F17" s="45" t="n">
        <f aca="false">-$C17+IF(AND($B17&gt;=Eingaben!$C$6,$B17&lt;=Eingaben!$C$6+34-1),INDEX(Auszahlung!$AZ$8:$AZ$41,$B17-Eingaben!$C$6+1),0)</f>
        <v>-2609.86023486692</v>
      </c>
      <c r="G17" s="47" t="n">
        <f aca="false">1/(1+Eingaben!$C$37)^12</f>
        <v>0.788493175581656</v>
      </c>
      <c r="H17" s="45" t="n">
        <f aca="false">$G17*(D17+$C17)</f>
        <v>0</v>
      </c>
      <c r="I17" s="45" t="n">
        <f aca="false">$G17*(E17+$C17)</f>
        <v>0</v>
      </c>
      <c r="J17" s="45" t="n">
        <f aca="false">$G17*(F17+$C17)</f>
        <v>0</v>
      </c>
      <c r="K17" s="45" t="n">
        <f aca="false">$G17*$C17</f>
        <v>2057.85698441451</v>
      </c>
    </row>
    <row r="18" customFormat="false" ht="15" hidden="false" customHeight="false" outlineLevel="0" collapsed="false">
      <c r="A18" s="46" t="n">
        <f aca="false">2026+13</f>
        <v>2039</v>
      </c>
      <c r="B18" s="46" t="n">
        <f aca="false">Eingaben!$C$5+13</f>
        <v>53</v>
      </c>
      <c r="C18" s="45" t="n">
        <f aca="false">IF(13&lt;50,INDEX(Ansparphase!$AG$8:$AG$57,13+1),0)</f>
        <v>2670.29637814174</v>
      </c>
      <c r="D18" s="45" t="n">
        <f aca="false">-$C18+IF(AND($B18&gt;=Eingaben!$C$6,$B18&lt;=Eingaben!$C$6+34-1),INDEX(Auszahlung!$AG$8:$AG$41,$B18-Eingaben!$C$6+1),0)</f>
        <v>-2670.29637814174</v>
      </c>
      <c r="E18" s="45" t="n">
        <f aca="false">-$C18+IF(AND($B18&gt;=Eingaben!$C$6,$B18&lt;=Eingaben!$C$6+34-1),INDEX(Auszahlung!$AT$8:$AT$41,$B18-Eingaben!$C$6+1),0)</f>
        <v>-2670.29637814174</v>
      </c>
      <c r="F18" s="45" t="n">
        <f aca="false">-$C18+IF(AND($B18&gt;=Eingaben!$C$6,$B18&lt;=Eingaben!$C$6+34-1),INDEX(Auszahlung!$AZ$8:$AZ$41,$B18-Eingaben!$C$6+1),0)</f>
        <v>-2670.29637814174</v>
      </c>
      <c r="G18" s="47" t="n">
        <f aca="false">1/(1+Eingaben!$C$37)^13</f>
        <v>0.773032525080055</v>
      </c>
      <c r="H18" s="45" t="n">
        <f aca="false">$G18*(D18+$C18)</f>
        <v>0</v>
      </c>
      <c r="I18" s="45" t="n">
        <f aca="false">$G18*(E18+$C18)</f>
        <v>0</v>
      </c>
      <c r="J18" s="45" t="n">
        <f aca="false">$G18*(F18+$C18)</f>
        <v>0</v>
      </c>
      <c r="K18" s="45" t="n">
        <f aca="false">$G18*$C18</f>
        <v>2064.22595190703</v>
      </c>
    </row>
    <row r="19" customFormat="false" ht="15" hidden="false" customHeight="false" outlineLevel="0" collapsed="false">
      <c r="A19" s="46" t="n">
        <f aca="false">2026+14</f>
        <v>2040</v>
      </c>
      <c r="B19" s="46" t="n">
        <f aca="false">Eingaben!$C$5+14</f>
        <v>54</v>
      </c>
      <c r="C19" s="45" t="n">
        <f aca="false">IF(14&lt;50,INDEX(Ansparphase!$AG$8:$AG$57,14+1),0)</f>
        <v>2732.09921411139</v>
      </c>
      <c r="D19" s="45" t="n">
        <f aca="false">-$C19+IF(AND($B19&gt;=Eingaben!$C$6,$B19&lt;=Eingaben!$C$6+34-1),INDEX(Auszahlung!$AG$8:$AG$41,$B19-Eingaben!$C$6+1),0)</f>
        <v>-2732.09921411139</v>
      </c>
      <c r="E19" s="45" t="n">
        <f aca="false">-$C19+IF(AND($B19&gt;=Eingaben!$C$6,$B19&lt;=Eingaben!$C$6+34-1),INDEX(Auszahlung!$AT$8:$AT$41,$B19-Eingaben!$C$6+1),0)</f>
        <v>-2732.09921411139</v>
      </c>
      <c r="F19" s="45" t="n">
        <f aca="false">-$C19+IF(AND($B19&gt;=Eingaben!$C$6,$B19&lt;=Eingaben!$C$6+34-1),INDEX(Auszahlung!$AZ$8:$AZ$41,$B19-Eingaben!$C$6+1),0)</f>
        <v>-2732.09921411139</v>
      </c>
      <c r="G19" s="47" t="n">
        <f aca="false">1/(1+Eingaben!$C$37)^14</f>
        <v>0.757875024588289</v>
      </c>
      <c r="H19" s="45" t="n">
        <f aca="false">$G19*(D19+$C19)</f>
        <v>0</v>
      </c>
      <c r="I19" s="45" t="n">
        <f aca="false">$G19*(E19+$C19)</f>
        <v>0</v>
      </c>
      <c r="J19" s="45" t="n">
        <f aca="false">$G19*(F19+$C19)</f>
        <v>0</v>
      </c>
      <c r="K19" s="45" t="n">
        <f aca="false">$G19*$C19</f>
        <v>2070.58975907231</v>
      </c>
    </row>
    <row r="20" customFormat="false" ht="15" hidden="false" customHeight="false" outlineLevel="0" collapsed="false">
      <c r="A20" s="46" t="n">
        <f aca="false">2026+15</f>
        <v>2041</v>
      </c>
      <c r="B20" s="46" t="n">
        <f aca="false">Eingaben!$C$5+15</f>
        <v>55</v>
      </c>
      <c r="C20" s="45" t="n">
        <f aca="false">IF(15&lt;50,INDEX(Ansparphase!$AG$8:$AG$57,15+1),0)</f>
        <v>2838.19534332875</v>
      </c>
      <c r="D20" s="45" t="n">
        <f aca="false">-$C20+IF(AND($B20&gt;=Eingaben!$C$6,$B20&lt;=Eingaben!$C$6+34-1),INDEX(Auszahlung!$AG$8:$AG$41,$B20-Eingaben!$C$6+1),0)</f>
        <v>-2838.19534332875</v>
      </c>
      <c r="E20" s="45" t="n">
        <f aca="false">-$C20+IF(AND($B20&gt;=Eingaben!$C$6,$B20&lt;=Eingaben!$C$6+34-1),INDEX(Auszahlung!$AT$8:$AT$41,$B20-Eingaben!$C$6+1),0)</f>
        <v>-2838.19534332875</v>
      </c>
      <c r="F20" s="45" t="n">
        <f aca="false">-$C20+IF(AND($B20&gt;=Eingaben!$C$6,$B20&lt;=Eingaben!$C$6+34-1),INDEX(Auszahlung!$AZ$8:$AZ$41,$B20-Eingaben!$C$6+1),0)</f>
        <v>-2838.19534332875</v>
      </c>
      <c r="G20" s="47" t="n">
        <f aca="false">1/(1+Eingaben!$C$37)^15</f>
        <v>0.743014729988519</v>
      </c>
      <c r="H20" s="45" t="n">
        <f aca="false">$G20*(D20+$C20)</f>
        <v>0</v>
      </c>
      <c r="I20" s="45" t="n">
        <f aca="false">$G20*(E20+$C20)</f>
        <v>0</v>
      </c>
      <c r="J20" s="45" t="n">
        <f aca="false">$G20*(F20+$C20)</f>
        <v>0</v>
      </c>
      <c r="K20" s="45" t="n">
        <f aca="false">$G20*$C20</f>
        <v>2108.82094667808</v>
      </c>
    </row>
    <row r="21" customFormat="false" ht="15" hidden="false" customHeight="false" outlineLevel="0" collapsed="false">
      <c r="A21" s="46" t="n">
        <f aca="false">2026+16</f>
        <v>2042</v>
      </c>
      <c r="B21" s="46" t="n">
        <f aca="false">Eingaben!$C$5+16</f>
        <v>56</v>
      </c>
      <c r="C21" s="45" t="n">
        <f aca="false">IF(16&lt;50,INDEX(Ansparphase!$AG$8:$AG$57,16+1),0)</f>
        <v>2906.41021745289</v>
      </c>
      <c r="D21" s="45" t="n">
        <f aca="false">-$C21+IF(AND($B21&gt;=Eingaben!$C$6,$B21&lt;=Eingaben!$C$6+34-1),INDEX(Auszahlung!$AG$8:$AG$41,$B21-Eingaben!$C$6+1),0)</f>
        <v>-2906.41021745289</v>
      </c>
      <c r="E21" s="45" t="n">
        <f aca="false">-$C21+IF(AND($B21&gt;=Eingaben!$C$6,$B21&lt;=Eingaben!$C$6+34-1),INDEX(Auszahlung!$AT$8:$AT$41,$B21-Eingaben!$C$6+1),0)</f>
        <v>-2906.41021745289</v>
      </c>
      <c r="F21" s="45" t="n">
        <f aca="false">-$C21+IF(AND($B21&gt;=Eingaben!$C$6,$B21&lt;=Eingaben!$C$6+34-1),INDEX(Auszahlung!$AZ$8:$AZ$41,$B21-Eingaben!$C$6+1),0)</f>
        <v>-2906.41021745289</v>
      </c>
      <c r="G21" s="47" t="n">
        <f aca="false">1/(1+Eingaben!$C$37)^16</f>
        <v>0.728445813714234</v>
      </c>
      <c r="H21" s="45" t="n">
        <f aca="false">$G21*(D21+$C21)</f>
        <v>0</v>
      </c>
      <c r="I21" s="45" t="n">
        <f aca="false">$G21*(E21+$C21)</f>
        <v>0</v>
      </c>
      <c r="J21" s="45" t="n">
        <f aca="false">$G21*(F21+$C21)</f>
        <v>0</v>
      </c>
      <c r="K21" s="45" t="n">
        <f aca="false">$G21*$C21</f>
        <v>2117.16235583983</v>
      </c>
    </row>
    <row r="22" customFormat="false" ht="15" hidden="false" customHeight="false" outlineLevel="0" collapsed="false">
      <c r="A22" s="46" t="n">
        <f aca="false">2026+17</f>
        <v>2043</v>
      </c>
      <c r="B22" s="46" t="n">
        <f aca="false">Eingaben!$C$5+17</f>
        <v>57</v>
      </c>
      <c r="C22" s="45" t="n">
        <f aca="false">IF(17&lt;50,INDEX(Ansparphase!$AG$8:$AG$57,17+1),0)</f>
        <v>2976.24839223522</v>
      </c>
      <c r="D22" s="45" t="n">
        <f aca="false">-$C22+IF(AND($B22&gt;=Eingaben!$C$6,$B22&lt;=Eingaben!$C$6+34-1),INDEX(Auszahlung!$AG$8:$AG$41,$B22-Eingaben!$C$6+1),0)</f>
        <v>-2976.24839223522</v>
      </c>
      <c r="E22" s="45" t="n">
        <f aca="false">-$C22+IF(AND($B22&gt;=Eingaben!$C$6,$B22&lt;=Eingaben!$C$6+34-1),INDEX(Auszahlung!$AT$8:$AT$41,$B22-Eingaben!$C$6+1),0)</f>
        <v>-2976.24839223522</v>
      </c>
      <c r="F22" s="45" t="n">
        <f aca="false">-$C22+IF(AND($B22&gt;=Eingaben!$C$6,$B22&lt;=Eingaben!$C$6+34-1),INDEX(Auszahlung!$AZ$8:$AZ$41,$B22-Eingaben!$C$6+1),0)</f>
        <v>-2976.24839223522</v>
      </c>
      <c r="G22" s="47" t="n">
        <f aca="false">1/(1+Eingaben!$C$37)^17</f>
        <v>0.714162562464936</v>
      </c>
      <c r="H22" s="45" t="n">
        <f aca="false">$G22*(D22+$C22)</f>
        <v>0</v>
      </c>
      <c r="I22" s="45" t="n">
        <f aca="false">$G22*(E22+$C22)</f>
        <v>0</v>
      </c>
      <c r="J22" s="45" t="n">
        <f aca="false">$G22*(F22+$C22)</f>
        <v>0</v>
      </c>
      <c r="K22" s="45" t="n">
        <f aca="false">$G22*$C22</f>
        <v>2125.52517833085</v>
      </c>
    </row>
    <row r="23" customFormat="false" ht="15" hidden="false" customHeight="false" outlineLevel="0" collapsed="false">
      <c r="A23" s="46" t="n">
        <f aca="false">2026+18</f>
        <v>2044</v>
      </c>
      <c r="B23" s="46" t="n">
        <f aca="false">Eingaben!$C$5+18</f>
        <v>58</v>
      </c>
      <c r="C23" s="45" t="n">
        <f aca="false">IF(18&lt;50,INDEX(Ansparphase!$AG$8:$AG$57,18+1),0)</f>
        <v>3047.74798700682</v>
      </c>
      <c r="D23" s="45" t="n">
        <f aca="false">-$C23+IF(AND($B23&gt;=Eingaben!$C$6,$B23&lt;=Eingaben!$C$6+34-1),INDEX(Auszahlung!$AG$8:$AG$41,$B23-Eingaben!$C$6+1),0)</f>
        <v>-3047.74798700682</v>
      </c>
      <c r="E23" s="45" t="n">
        <f aca="false">-$C23+IF(AND($B23&gt;=Eingaben!$C$6,$B23&lt;=Eingaben!$C$6+34-1),INDEX(Auszahlung!$AT$8:$AT$41,$B23-Eingaben!$C$6+1),0)</f>
        <v>-3047.74798700682</v>
      </c>
      <c r="F23" s="45" t="n">
        <f aca="false">-$C23+IF(AND($B23&gt;=Eingaben!$C$6,$B23&lt;=Eingaben!$C$6+34-1),INDEX(Auszahlung!$AZ$8:$AZ$41,$B23-Eingaben!$C$6+1),0)</f>
        <v>-3047.74798700682</v>
      </c>
      <c r="G23" s="47" t="n">
        <f aca="false">1/(1+Eingaben!$C$37)^18</f>
        <v>0.700159374965623</v>
      </c>
      <c r="H23" s="45" t="n">
        <f aca="false">$G23*(D23+$C23)</f>
        <v>0</v>
      </c>
      <c r="I23" s="45" t="n">
        <f aca="false">$G23*(E23+$C23)</f>
        <v>0</v>
      </c>
      <c r="J23" s="45" t="n">
        <f aca="false">$G23*(F23+$C23)</f>
        <v>0</v>
      </c>
      <c r="K23" s="45" t="n">
        <f aca="false">$G23*$C23</f>
        <v>2133.90932563543</v>
      </c>
    </row>
    <row r="24" customFormat="false" ht="15" hidden="false" customHeight="false" outlineLevel="0" collapsed="false">
      <c r="A24" s="46" t="n">
        <f aca="false">2026+19</f>
        <v>2045</v>
      </c>
      <c r="B24" s="46" t="n">
        <f aca="false">Eingaben!$C$5+19</f>
        <v>59</v>
      </c>
      <c r="C24" s="45" t="n">
        <f aca="false">IF(19&lt;50,INDEX(Ansparphase!$AG$8:$AG$57,19+1),0)</f>
        <v>3120.94800013078</v>
      </c>
      <c r="D24" s="45" t="n">
        <f aca="false">-$C24+IF(AND($B24&gt;=Eingaben!$C$6,$B24&lt;=Eingaben!$C$6+34-1),INDEX(Auszahlung!$AG$8:$AG$41,$B24-Eingaben!$C$6+1),0)</f>
        <v>-3120.94800013078</v>
      </c>
      <c r="E24" s="45" t="n">
        <f aca="false">-$C24+IF(AND($B24&gt;=Eingaben!$C$6,$B24&lt;=Eingaben!$C$6+34-1),INDEX(Auszahlung!$AT$8:$AT$41,$B24-Eingaben!$C$6+1),0)</f>
        <v>-3120.94800013078</v>
      </c>
      <c r="F24" s="45" t="n">
        <f aca="false">-$C24+IF(AND($B24&gt;=Eingaben!$C$6,$B24&lt;=Eingaben!$C$6+34-1),INDEX(Auszahlung!$AZ$8:$AZ$41,$B24-Eingaben!$C$6+1),0)</f>
        <v>-3120.94800013078</v>
      </c>
      <c r="G24" s="47" t="n">
        <f aca="false">1/(1+Eingaben!$C$37)^19</f>
        <v>0.686430759770219</v>
      </c>
      <c r="H24" s="45" t="n">
        <f aca="false">$G24*(D24+$C24)</f>
        <v>0</v>
      </c>
      <c r="I24" s="45" t="n">
        <f aca="false">$G24*(E24+$C24)</f>
        <v>0</v>
      </c>
      <c r="J24" s="45" t="n">
        <f aca="false">$G24*(F24+$C24)</f>
        <v>0</v>
      </c>
      <c r="K24" s="45" t="n">
        <f aca="false">$G24*$C24</f>
        <v>2142.31470693311</v>
      </c>
    </row>
    <row r="25" customFormat="false" ht="15" hidden="false" customHeight="false" outlineLevel="0" collapsed="false">
      <c r="A25" s="46" t="n">
        <f aca="false">2026+20</f>
        <v>2046</v>
      </c>
      <c r="B25" s="46" t="n">
        <f aca="false">Eingaben!$C$5+20</f>
        <v>60</v>
      </c>
      <c r="C25" s="45" t="n">
        <f aca="false">IF(20&lt;50,INDEX(Ansparphase!$AG$8:$AG$57,20+1),0)</f>
        <v>3195.88832875773</v>
      </c>
      <c r="D25" s="45" t="n">
        <f aca="false">-$C25+IF(AND($B25&gt;=Eingaben!$C$6,$B25&lt;=Eingaben!$C$6+34-1),INDEX(Auszahlung!$AG$8:$AG$41,$B25-Eingaben!$C$6+1),0)</f>
        <v>-3195.88832875773</v>
      </c>
      <c r="E25" s="45" t="n">
        <f aca="false">-$C25+IF(AND($B25&gt;=Eingaben!$C$6,$B25&lt;=Eingaben!$C$6+34-1),INDEX(Auszahlung!$AT$8:$AT$41,$B25-Eingaben!$C$6+1),0)</f>
        <v>-3195.88832875773</v>
      </c>
      <c r="F25" s="45" t="n">
        <f aca="false">-$C25+IF(AND($B25&gt;=Eingaben!$C$6,$B25&lt;=Eingaben!$C$6+34-1),INDEX(Auszahlung!$AZ$8:$AZ$41,$B25-Eingaben!$C$6+1),0)</f>
        <v>-3195.88832875773</v>
      </c>
      <c r="G25" s="47" t="n">
        <f aca="false">1/(1+Eingaben!$C$37)^20</f>
        <v>0.672971333108058</v>
      </c>
      <c r="H25" s="45" t="n">
        <f aca="false">$G25*(D25+$C25)</f>
        <v>0</v>
      </c>
      <c r="I25" s="45" t="n">
        <f aca="false">$G25*(E25+$C25)</f>
        <v>0</v>
      </c>
      <c r="J25" s="45" t="n">
        <f aca="false">$G25*(F25+$C25)</f>
        <v>0</v>
      </c>
      <c r="K25" s="45" t="n">
        <f aca="false">$G25*$C25</f>
        <v>2150.74122906857</v>
      </c>
    </row>
    <row r="26" customFormat="false" ht="15" hidden="false" customHeight="false" outlineLevel="0" collapsed="false">
      <c r="A26" s="46" t="n">
        <f aca="false">2026+21</f>
        <v>2047</v>
      </c>
      <c r="B26" s="46" t="n">
        <f aca="false">Eingaben!$C$5+21</f>
        <v>61</v>
      </c>
      <c r="C26" s="45" t="n">
        <f aca="false">IF(21&lt;50,INDEX(Ansparphase!$AG$8:$AG$57,21+1),0)</f>
        <v>3272.60978900855</v>
      </c>
      <c r="D26" s="45" t="n">
        <f aca="false">-$C26+IF(AND($B26&gt;=Eingaben!$C$6,$B26&lt;=Eingaben!$C$6+34-1),INDEX(Auszahlung!$AG$8:$AG$41,$B26-Eingaben!$C$6+1),0)</f>
        <v>-3272.60978900855</v>
      </c>
      <c r="E26" s="45" t="n">
        <f aca="false">-$C26+IF(AND($B26&gt;=Eingaben!$C$6,$B26&lt;=Eingaben!$C$6+34-1),INDEX(Auszahlung!$AT$8:$AT$41,$B26-Eingaben!$C$6+1),0)</f>
        <v>-3272.60978900855</v>
      </c>
      <c r="F26" s="45" t="n">
        <f aca="false">-$C26+IF(AND($B26&gt;=Eingaben!$C$6,$B26&lt;=Eingaben!$C$6+34-1),INDEX(Auszahlung!$AZ$8:$AZ$41,$B26-Eingaben!$C$6+1),0)</f>
        <v>-3272.60978900855</v>
      </c>
      <c r="G26" s="47" t="n">
        <f aca="false">1/(1+Eingaben!$C$37)^21</f>
        <v>0.659775816772605</v>
      </c>
      <c r="H26" s="45" t="n">
        <f aca="false">$G26*(D26+$C26)</f>
        <v>0</v>
      </c>
      <c r="I26" s="45" t="n">
        <f aca="false">$G26*(E26+$C26)</f>
        <v>0</v>
      </c>
      <c r="J26" s="45" t="n">
        <f aca="false">$G26*(F26+$C26)</f>
        <v>0</v>
      </c>
      <c r="K26" s="45" t="n">
        <f aca="false">$G26*$C26</f>
        <v>2159.18879652114</v>
      </c>
    </row>
    <row r="27" customFormat="false" ht="15" hidden="false" customHeight="false" outlineLevel="0" collapsed="false">
      <c r="A27" s="46" t="n">
        <f aca="false">2026+22</f>
        <v>2048</v>
      </c>
      <c r="B27" s="46" t="n">
        <f aca="false">Eingaben!$C$5+22</f>
        <v>62</v>
      </c>
      <c r="C27" s="45" t="n">
        <f aca="false">IF(22&lt;50,INDEX(Ansparphase!$AG$8:$AG$57,22+1),0)</f>
        <v>3351.15413659295</v>
      </c>
      <c r="D27" s="45" t="n">
        <f aca="false">-$C27+IF(AND($B27&gt;=Eingaben!$C$6,$B27&lt;=Eingaben!$C$6+34-1),INDEX(Auszahlung!$AG$8:$AG$41,$B27-Eingaben!$C$6+1),0)</f>
        <v>-3351.15413659295</v>
      </c>
      <c r="E27" s="45" t="n">
        <f aca="false">-$C27+IF(AND($B27&gt;=Eingaben!$C$6,$B27&lt;=Eingaben!$C$6+34-1),INDEX(Auszahlung!$AT$8:$AT$41,$B27-Eingaben!$C$6+1),0)</f>
        <v>-3351.15413659295</v>
      </c>
      <c r="F27" s="45" t="n">
        <f aca="false">-$C27+IF(AND($B27&gt;=Eingaben!$C$6,$B27&lt;=Eingaben!$C$6+34-1),INDEX(Auszahlung!$AZ$8:$AZ$41,$B27-Eingaben!$C$6+1),0)</f>
        <v>-3351.15413659295</v>
      </c>
      <c r="G27" s="47" t="n">
        <f aca="false">1/(1+Eingaben!$C$37)^22</f>
        <v>0.646839036051574</v>
      </c>
      <c r="H27" s="45" t="n">
        <f aca="false">$G27*(D27+$C27)</f>
        <v>0</v>
      </c>
      <c r="I27" s="45" t="n">
        <f aca="false">$G27*(E27+$C27)</f>
        <v>0</v>
      </c>
      <c r="J27" s="45" t="n">
        <f aca="false">$G27*(F27+$C27)</f>
        <v>0</v>
      </c>
      <c r="K27" s="45" t="n">
        <f aca="false">$G27*$C27</f>
        <v>2167.65731137403</v>
      </c>
    </row>
    <row r="28" customFormat="false" ht="15" hidden="false" customHeight="false" outlineLevel="0" collapsed="false">
      <c r="A28" s="46" t="n">
        <f aca="false">2026+23</f>
        <v>2049</v>
      </c>
      <c r="B28" s="46" t="n">
        <f aca="false">Eingaben!$C$5+23</f>
        <v>63</v>
      </c>
      <c r="C28" s="45" t="n">
        <f aca="false">IF(23&lt;50,INDEX(Ansparphase!$AG$8:$AG$57,23+1),0)</f>
        <v>0</v>
      </c>
      <c r="D28" s="45" t="n">
        <f aca="false">-$C28+IF(AND($B28&gt;=Eingaben!$C$6,$B28&lt;=Eingaben!$C$6+34-1),INDEX(Auszahlung!$AG$8:$AG$41,$B28-Eingaben!$C$6+1),0)</f>
        <v>0</v>
      </c>
      <c r="E28" s="45" t="n">
        <f aca="false">-$C28+IF(AND($B28&gt;=Eingaben!$C$6,$B28&lt;=Eingaben!$C$6+34-1),INDEX(Auszahlung!$AT$8:$AT$41,$B28-Eingaben!$C$6+1),0)</f>
        <v>0</v>
      </c>
      <c r="F28" s="45" t="n">
        <f aca="false">-$C28+IF(AND($B28&gt;=Eingaben!$C$6,$B28&lt;=Eingaben!$C$6+34-1),INDEX(Auszahlung!$AZ$8:$AZ$41,$B28-Eingaben!$C$6+1),0)</f>
        <v>0</v>
      </c>
      <c r="G28" s="47" t="n">
        <f aca="false">1/(1+Eingaben!$C$37)^23</f>
        <v>0.634155917697621</v>
      </c>
      <c r="H28" s="45" t="n">
        <f aca="false">$G28*(D28+$C28)</f>
        <v>0</v>
      </c>
      <c r="I28" s="45" t="n">
        <f aca="false">$G28*(E28+$C28)</f>
        <v>0</v>
      </c>
      <c r="J28" s="45" t="n">
        <f aca="false">$G28*(F28+$C28)</f>
        <v>0</v>
      </c>
      <c r="K28" s="45" t="n">
        <f aca="false">$G28*$C28</f>
        <v>0</v>
      </c>
    </row>
    <row r="29" customFormat="false" ht="15" hidden="false" customHeight="false" outlineLevel="0" collapsed="false">
      <c r="A29" s="46" t="n">
        <f aca="false">2026+24</f>
        <v>2050</v>
      </c>
      <c r="B29" s="46" t="n">
        <f aca="false">Eingaben!$C$5+24</f>
        <v>64</v>
      </c>
      <c r="C29" s="45" t="n">
        <f aca="false">IF(24&lt;50,INDEX(Ansparphase!$AG$8:$AG$57,24+1),0)</f>
        <v>0</v>
      </c>
      <c r="D29" s="45" t="n">
        <f aca="false">-$C29+IF(AND($B29&gt;=Eingaben!$C$6,$B29&lt;=Eingaben!$C$6+34-1),INDEX(Auszahlung!$AG$8:$AG$41,$B29-Eingaben!$C$6+1),0)</f>
        <v>0</v>
      </c>
      <c r="E29" s="45" t="n">
        <f aca="false">-$C29+IF(AND($B29&gt;=Eingaben!$C$6,$B29&lt;=Eingaben!$C$6+34-1),INDEX(Auszahlung!$AT$8:$AT$41,$B29-Eingaben!$C$6+1),0)</f>
        <v>0</v>
      </c>
      <c r="F29" s="45" t="n">
        <f aca="false">-$C29+IF(AND($B29&gt;=Eingaben!$C$6,$B29&lt;=Eingaben!$C$6+34-1),INDEX(Auszahlung!$AZ$8:$AZ$41,$B29-Eingaben!$C$6+1),0)</f>
        <v>0</v>
      </c>
      <c r="G29" s="47" t="n">
        <f aca="false">1/(1+Eingaben!$C$37)^24</f>
        <v>0.621721487938845</v>
      </c>
      <c r="H29" s="45" t="n">
        <f aca="false">$G29*(D29+$C29)</f>
        <v>0</v>
      </c>
      <c r="I29" s="45" t="n">
        <f aca="false">$G29*(E29+$C29)</f>
        <v>0</v>
      </c>
      <c r="J29" s="45" t="n">
        <f aca="false">$G29*(F29+$C29)</f>
        <v>0</v>
      </c>
      <c r="K29" s="45" t="n">
        <f aca="false">$G29*$C29</f>
        <v>0</v>
      </c>
    </row>
    <row r="30" customFormat="false" ht="15" hidden="false" customHeight="false" outlineLevel="0" collapsed="false">
      <c r="A30" s="46" t="n">
        <f aca="false">2026+25</f>
        <v>2051</v>
      </c>
      <c r="B30" s="46" t="n">
        <f aca="false">Eingaben!$C$5+25</f>
        <v>65</v>
      </c>
      <c r="C30" s="45" t="n">
        <f aca="false">IF(25&lt;50,INDEX(Ansparphase!$AG$8:$AG$57,25+1),0)</f>
        <v>0</v>
      </c>
      <c r="D30" s="45" t="n">
        <f aca="false">-$C30+IF(AND($B30&gt;=Eingaben!$C$6,$B30&lt;=Eingaben!$C$6+34-1),INDEX(Auszahlung!$AG$8:$AG$41,$B30-Eingaben!$C$6+1),0)</f>
        <v>0</v>
      </c>
      <c r="E30" s="45" t="n">
        <f aca="false">-$C30+IF(AND($B30&gt;=Eingaben!$C$6,$B30&lt;=Eingaben!$C$6+34-1),INDEX(Auszahlung!$AT$8:$AT$41,$B30-Eingaben!$C$6+1),0)</f>
        <v>0</v>
      </c>
      <c r="F30" s="45" t="n">
        <f aca="false">-$C30+IF(AND($B30&gt;=Eingaben!$C$6,$B30&lt;=Eingaben!$C$6+34-1),INDEX(Auszahlung!$AZ$8:$AZ$41,$B30-Eingaben!$C$6+1),0)</f>
        <v>0</v>
      </c>
      <c r="G30" s="47" t="n">
        <f aca="false">1/(1+Eingaben!$C$37)^25</f>
        <v>0.609530870528279</v>
      </c>
      <c r="H30" s="45" t="n">
        <f aca="false">$G30*(D30+$C30)</f>
        <v>0</v>
      </c>
      <c r="I30" s="45" t="n">
        <f aca="false">$G30*(E30+$C30)</f>
        <v>0</v>
      </c>
      <c r="J30" s="45" t="n">
        <f aca="false">$G30*(F30+$C30)</f>
        <v>0</v>
      </c>
      <c r="K30" s="45" t="n">
        <f aca="false">$G30*$C30</f>
        <v>0</v>
      </c>
    </row>
    <row r="31" customFormat="false" ht="15" hidden="false" customHeight="false" outlineLevel="0" collapsed="false">
      <c r="A31" s="46" t="n">
        <f aca="false">2026+26</f>
        <v>2052</v>
      </c>
      <c r="B31" s="46" t="n">
        <f aca="false">Eingaben!$C$5+26</f>
        <v>66</v>
      </c>
      <c r="C31" s="45" t="n">
        <f aca="false">IF(26&lt;50,INDEX(Ansparphase!$AG$8:$AG$57,26+1),0)</f>
        <v>0</v>
      </c>
      <c r="D31" s="45" t="n">
        <f aca="false">-$C31+IF(AND($B31&gt;=Eingaben!$C$6,$B31&lt;=Eingaben!$C$6+34-1),INDEX(Auszahlung!$AG$8:$AG$41,$B31-Eingaben!$C$6+1),0)</f>
        <v>0</v>
      </c>
      <c r="E31" s="45" t="n">
        <f aca="false">-$C31+IF(AND($B31&gt;=Eingaben!$C$6,$B31&lt;=Eingaben!$C$6+34-1),INDEX(Auszahlung!$AT$8:$AT$41,$B31-Eingaben!$C$6+1),0)</f>
        <v>0</v>
      </c>
      <c r="F31" s="45" t="n">
        <f aca="false">-$C31+IF(AND($B31&gt;=Eingaben!$C$6,$B31&lt;=Eingaben!$C$6+34-1),INDEX(Auszahlung!$AZ$8:$AZ$41,$B31-Eingaben!$C$6+1),0)</f>
        <v>0</v>
      </c>
      <c r="G31" s="47" t="n">
        <f aca="false">1/(1+Eingaben!$C$37)^26</f>
        <v>0.597579284831646</v>
      </c>
      <c r="H31" s="45" t="n">
        <f aca="false">$G31*(D31+$C31)</f>
        <v>0</v>
      </c>
      <c r="I31" s="45" t="n">
        <f aca="false">$G31*(E31+$C31)</f>
        <v>0</v>
      </c>
      <c r="J31" s="45" t="n">
        <f aca="false">$G31*(F31+$C31)</f>
        <v>0</v>
      </c>
      <c r="K31" s="45" t="n">
        <f aca="false">$G31*$C31</f>
        <v>0</v>
      </c>
    </row>
    <row r="32" customFormat="false" ht="15" hidden="false" customHeight="false" outlineLevel="0" collapsed="false">
      <c r="A32" s="46" t="n">
        <f aca="false">2026+27</f>
        <v>2053</v>
      </c>
      <c r="B32" s="46" t="n">
        <f aca="false">Eingaben!$C$5+27</f>
        <v>67</v>
      </c>
      <c r="C32" s="45" t="n">
        <f aca="false">IF(27&lt;50,INDEX(Ansparphase!$AG$8:$AG$57,27+1),0)</f>
        <v>0</v>
      </c>
      <c r="D32" s="45" t="n">
        <f aca="false">-$C32+IF(AND($B32&gt;=Eingaben!$C$6,$B32&lt;=Eingaben!$C$6+34-1),INDEX(Auszahlung!$AG$8:$AG$41,$B32-Eingaben!$C$6+1),0)</f>
        <v>185053.847305905</v>
      </c>
      <c r="E32" s="45" t="n">
        <f aca="false">-$C32+IF(AND($B32&gt;=Eingaben!$C$6,$B32&lt;=Eingaben!$C$6+34-1),INDEX(Auszahlung!$AT$8:$AT$41,$B32-Eingaben!$C$6+1),0)</f>
        <v>15949.0019602411</v>
      </c>
      <c r="F32" s="45" t="n">
        <f aca="false">-$C32+IF(AND($B32&gt;=Eingaben!$C$6,$B32&lt;=Eingaben!$C$6+34-1),INDEX(Auszahlung!$AZ$8:$AZ$41,$B32-Eingaben!$C$6+1),0)</f>
        <v>14953.9822455539</v>
      </c>
      <c r="G32" s="47" t="n">
        <f aca="false">1/(1+Eingaben!$C$37)^27</f>
        <v>0.585862043952594</v>
      </c>
      <c r="H32" s="45" t="n">
        <f aca="false">$G32*(D32+$C32)</f>
        <v>108416.025223929</v>
      </c>
      <c r="I32" s="45" t="n">
        <f aca="false">$G32*(E32+$C32)</f>
        <v>9343.91488743081</v>
      </c>
      <c r="J32" s="45" t="n">
        <f aca="false">$G32*(F32+$C32)</f>
        <v>8760.97060361099</v>
      </c>
      <c r="K32" s="45" t="n">
        <f aca="false">$G32*$C32</f>
        <v>0</v>
      </c>
    </row>
    <row r="33" customFormat="false" ht="15" hidden="false" customHeight="false" outlineLevel="0" collapsed="false">
      <c r="A33" s="46" t="n">
        <f aca="false">2026+28</f>
        <v>2054</v>
      </c>
      <c r="B33" s="46" t="n">
        <f aca="false">Eingaben!$C$5+28</f>
        <v>68</v>
      </c>
      <c r="C33" s="45" t="n">
        <f aca="false">IF(28&lt;50,INDEX(Ansparphase!$AG$8:$AG$57,28+1),0)</f>
        <v>0</v>
      </c>
      <c r="D33" s="45" t="n">
        <f aca="false">-$C33+IF(AND($B33&gt;=Eingaben!$C$6,$B33&lt;=Eingaben!$C$6+34-1),INDEX(Auszahlung!$AG$8:$AG$41,$B33-Eingaben!$C$6+1),0)</f>
        <v>-5659.5389253371</v>
      </c>
      <c r="E33" s="45" t="n">
        <f aca="false">-$C33+IF(AND($B33&gt;=Eingaben!$C$6,$B33&lt;=Eingaben!$C$6+34-1),INDEX(Auszahlung!$AT$8:$AT$41,$B33-Eingaben!$C$6+1),0)</f>
        <v>15954.2465499594</v>
      </c>
      <c r="F33" s="45" t="n">
        <f aca="false">-$C33+IF(AND($B33&gt;=Eingaben!$C$6,$B33&lt;=Eingaben!$C$6+34-1),INDEX(Auszahlung!$AZ$8:$AZ$41,$B33-Eingaben!$C$6+1),0)</f>
        <v>14847.2336941076</v>
      </c>
      <c r="G33" s="47" t="n">
        <f aca="false">1/(1+Eingaben!$C$37)^28</f>
        <v>0.5743745528947</v>
      </c>
      <c r="H33" s="45" t="n">
        <f aca="false">$G33*(D33+$C33)</f>
        <v>-3250.69513983065</v>
      </c>
      <c r="I33" s="45" t="n">
        <f aca="false">$G33*(E33+$C33)</f>
        <v>9163.71322890476</v>
      </c>
      <c r="J33" s="45" t="n">
        <f aca="false">$G33*(F33+$C33)</f>
        <v>8527.87321477617</v>
      </c>
      <c r="K33" s="45" t="n">
        <f aca="false">$G33*$C33</f>
        <v>0</v>
      </c>
    </row>
    <row r="34" customFormat="false" ht="15" hidden="false" customHeight="false" outlineLevel="0" collapsed="false">
      <c r="A34" s="46" t="n">
        <f aca="false">2026+29</f>
        <v>2055</v>
      </c>
      <c r="B34" s="46" t="n">
        <f aca="false">Eingaben!$C$5+29</f>
        <v>69</v>
      </c>
      <c r="C34" s="45" t="n">
        <f aca="false">IF(29&lt;50,INDEX(Ansparphase!$AG$8:$AG$57,29+1),0)</f>
        <v>0</v>
      </c>
      <c r="D34" s="45" t="n">
        <f aca="false">-$C34+IF(AND($B34&gt;=Eingaben!$C$6,$B34&lt;=Eingaben!$C$6+34-1),INDEX(Auszahlung!$AG$8:$AG$41,$B34-Eingaben!$C$6+1),0)</f>
        <v>-5669.9011541759</v>
      </c>
      <c r="E34" s="45" t="n">
        <f aca="false">-$C34+IF(AND($B34&gt;=Eingaben!$C$6,$B34&lt;=Eingaben!$C$6+34-1),INDEX(Auszahlung!$AT$8:$AT$41,$B34-Eingaben!$C$6+1),0)</f>
        <v>15959.3883045852</v>
      </c>
      <c r="F34" s="45" t="n">
        <f aca="false">-$C34+IF(AND($B34&gt;=Eingaben!$C$6,$B34&lt;=Eingaben!$C$6+34-1),INDEX(Auszahlung!$AZ$8:$AZ$41,$B34-Eingaben!$C$6+1),0)</f>
        <v>14747.2818669107</v>
      </c>
      <c r="G34" s="47" t="n">
        <f aca="false">1/(1+Eingaben!$C$37)^29</f>
        <v>0.56311230675951</v>
      </c>
      <c r="H34" s="45" t="n">
        <f aca="false">$G34*(D34+$C34)</f>
        <v>-3192.7911180264</v>
      </c>
      <c r="I34" s="45" t="n">
        <f aca="false">$G34*(E34+$C34)</f>
        <v>8986.92796266572</v>
      </c>
      <c r="J34" s="45" t="n">
        <f aca="false">$G34*(F34+$C34)</f>
        <v>8304.37591050878</v>
      </c>
      <c r="K34" s="45" t="n">
        <f aca="false">$G34*$C34</f>
        <v>0</v>
      </c>
    </row>
    <row r="35" customFormat="false" ht="15" hidden="false" customHeight="false" outlineLevel="0" collapsed="false">
      <c r="A35" s="46" t="n">
        <f aca="false">2026+30</f>
        <v>2056</v>
      </c>
      <c r="B35" s="46" t="n">
        <f aca="false">Eingaben!$C$5+30</f>
        <v>70</v>
      </c>
      <c r="C35" s="45" t="n">
        <f aca="false">IF(30&lt;50,INDEX(Ansparphase!$AG$8:$AG$57,30+1),0)</f>
        <v>0</v>
      </c>
      <c r="D35" s="45" t="n">
        <f aca="false">-$C35+IF(AND($B35&gt;=Eingaben!$C$6,$B35&lt;=Eingaben!$C$6+34-1),INDEX(Auszahlung!$AG$8:$AG$41,$B35-Eingaben!$C$6+1),0)</f>
        <v>-5680.65125444415</v>
      </c>
      <c r="E35" s="45" t="n">
        <f aca="false">-$C35+IF(AND($B35&gt;=Eingaben!$C$6,$B35&lt;=Eingaben!$C$6+34-1),INDEX(Auszahlung!$AT$8:$AT$41,$B35-Eingaben!$C$6+1),0)</f>
        <v>15964.4292404928</v>
      </c>
      <c r="F35" s="45" t="n">
        <f aca="false">-$C35+IF(AND($B35&gt;=Eingaben!$C$6,$B35&lt;=Eingaben!$C$6+34-1),INDEX(Auszahlung!$AZ$8:$AZ$41,$B35-Eingaben!$C$6+1),0)</f>
        <v>14653.6940137301</v>
      </c>
      <c r="G35" s="47" t="n">
        <f aca="false">1/(1+Eingaben!$C$37)^30</f>
        <v>0.552070888979912</v>
      </c>
      <c r="H35" s="45" t="n">
        <f aca="false">$G35*(D35+$C35)</f>
        <v>-3136.12218802583</v>
      </c>
      <c r="I35" s="45" t="n">
        <f aca="false">$G35*(E35+$C35)</f>
        <v>8813.49664285578</v>
      </c>
      <c r="J35" s="45" t="n">
        <f aca="false">$G35*(F35+$C35)</f>
        <v>8089.87788099959</v>
      </c>
      <c r="K35" s="45" t="n">
        <f aca="false">$G35*$C35</f>
        <v>0</v>
      </c>
    </row>
    <row r="36" customFormat="false" ht="15" hidden="false" customHeight="false" outlineLevel="0" collapsed="false">
      <c r="A36" s="46" t="n">
        <f aca="false">2026+31</f>
        <v>2057</v>
      </c>
      <c r="B36" s="46" t="n">
        <f aca="false">Eingaben!$C$5+31</f>
        <v>71</v>
      </c>
      <c r="C36" s="45" t="n">
        <f aca="false">IF(31&lt;50,INDEX(Ansparphase!$AG$8:$AG$57,31+1),0)</f>
        <v>0</v>
      </c>
      <c r="D36" s="45" t="n">
        <f aca="false">-$C36+IF(AND($B36&gt;=Eingaben!$C$6,$B36&lt;=Eingaben!$C$6+34-1),INDEX(Auszahlung!$AG$8:$AG$41,$B36-Eingaben!$C$6+1),0)</f>
        <v>-5691.71456506619</v>
      </c>
      <c r="E36" s="45" t="n">
        <f aca="false">-$C36+IF(AND($B36&gt;=Eingaben!$C$6,$B36&lt;=Eingaben!$C$6+34-1),INDEX(Auszahlung!$AT$8:$AT$41,$B36-Eingaben!$C$6+1),0)</f>
        <v>15969.3713345199</v>
      </c>
      <c r="F36" s="45" t="n">
        <f aca="false">-$C36+IF(AND($B36&gt;=Eingaben!$C$6,$B36&lt;=Eingaben!$C$6+34-1),INDEX(Auszahlung!$AZ$8:$AZ$41,$B36-Eingaben!$C$6+1),0)</f>
        <v>14566.0649377183</v>
      </c>
      <c r="G36" s="47" t="n">
        <f aca="false">1/(1+Eingaben!$C$37)^31</f>
        <v>0.541245969588149</v>
      </c>
      <c r="H36" s="45" t="n">
        <f aca="false">$G36*(D36+$C36)</f>
        <v>-3080.61756838824</v>
      </c>
      <c r="I36" s="45" t="n">
        <f aca="false">$G36*(E36+$C36)</f>
        <v>8643.35787166542</v>
      </c>
      <c r="J36" s="45" t="n">
        <f aca="false">$G36*(F36+$C36)</f>
        <v>7883.82394029928</v>
      </c>
      <c r="K36" s="45" t="n">
        <f aca="false">$G36*$C36</f>
        <v>0</v>
      </c>
    </row>
    <row r="37" customFormat="false" ht="15" hidden="false" customHeight="false" outlineLevel="0" collapsed="false">
      <c r="A37" s="46" t="n">
        <f aca="false">2026+32</f>
        <v>2058</v>
      </c>
      <c r="B37" s="46" t="n">
        <f aca="false">Eingaben!$C$5+32</f>
        <v>72</v>
      </c>
      <c r="C37" s="45" t="n">
        <f aca="false">IF(32&lt;50,INDEX(Ansparphase!$AG$8:$AG$57,32+1),0)</f>
        <v>0</v>
      </c>
      <c r="D37" s="45" t="n">
        <f aca="false">-$C37+IF(AND($B37&gt;=Eingaben!$C$6,$B37&lt;=Eingaben!$C$6+34-1),INDEX(Auszahlung!$AG$8:$AG$41,$B37-Eingaben!$C$6+1),0)</f>
        <v>-5703.0936227574</v>
      </c>
      <c r="E37" s="45" t="n">
        <f aca="false">-$C37+IF(AND($B37&gt;=Eingaben!$C$6,$B37&lt;=Eingaben!$C$6+34-1),INDEX(Auszahlung!$AT$8:$AT$41,$B37-Eingaben!$C$6+1),0)</f>
        <v>15974.2165247426</v>
      </c>
      <c r="F37" s="45" t="n">
        <f aca="false">-$C37+IF(AND($B37&gt;=Eingaben!$C$6,$B37&lt;=Eingaben!$C$6+34-1),INDEX(Auszahlung!$AZ$8:$AZ$41,$B37-Eingaben!$C$6+1),0)</f>
        <v>14484.015241078</v>
      </c>
      <c r="G37" s="47" t="n">
        <f aca="false">1/(1+Eingaben!$C$37)^32</f>
        <v>0.530633303517793</v>
      </c>
      <c r="H37" s="45" t="n">
        <f aca="false">$G37*(D37+$C37)</f>
        <v>-3026.25140931502</v>
      </c>
      <c r="I37" s="45" t="n">
        <f aca="false">$G37*(E37+$C37)</f>
        <v>8476.45128563266</v>
      </c>
      <c r="J37" s="45" t="n">
        <f aca="false">$G37*(F37+$C37)</f>
        <v>7685.7008555753</v>
      </c>
      <c r="K37" s="45" t="n">
        <f aca="false">$G37*$C37</f>
        <v>0</v>
      </c>
    </row>
    <row r="38" customFormat="false" ht="15" hidden="false" customHeight="false" outlineLevel="0" collapsed="false">
      <c r="A38" s="46" t="n">
        <f aca="false">2026+33</f>
        <v>2059</v>
      </c>
      <c r="B38" s="46" t="n">
        <f aca="false">Eingaben!$C$5+33</f>
        <v>73</v>
      </c>
      <c r="C38" s="45" t="n">
        <f aca="false">IF(33&lt;50,INDEX(Ansparphase!$AG$8:$AG$57,33+1),0)</f>
        <v>0</v>
      </c>
      <c r="D38" s="45" t="n">
        <f aca="false">-$C38+IF(AND($B38&gt;=Eingaben!$C$6,$B38&lt;=Eingaben!$C$6+34-1),INDEX(Auszahlung!$AG$8:$AG$41,$B38-Eingaben!$C$6+1),0)</f>
        <v>-5714.79553714843</v>
      </c>
      <c r="E38" s="45" t="n">
        <f aca="false">-$C38+IF(AND($B38&gt;=Eingaben!$C$6,$B38&lt;=Eingaben!$C$6+34-1),INDEX(Auszahlung!$AT$8:$AT$41,$B38-Eingaben!$C$6+1),0)</f>
        <v>15978.9667112353</v>
      </c>
      <c r="F38" s="45" t="n">
        <f aca="false">-$C38+IF(AND($B38&gt;=Eingaben!$C$6,$B38&lt;=Eingaben!$C$6+34-1),INDEX(Auszahlung!$AZ$8:$AZ$41,$B38-Eingaben!$C$6+1),0)</f>
        <v>14407.1896824261</v>
      </c>
      <c r="G38" s="47" t="n">
        <f aca="false">1/(1+Eingaben!$C$37)^33</f>
        <v>0.520228728939013</v>
      </c>
      <c r="H38" s="45" t="n">
        <f aca="false">$G38*(D38+$C38)</f>
        <v>-2973.00081843707</v>
      </c>
      <c r="I38" s="45" t="n">
        <f aca="false">$G38*(E38+$C38)</f>
        <v>8312.71754194475</v>
      </c>
      <c r="J38" s="45" t="n">
        <f aca="false">$G38*(F38+$C38)</f>
        <v>7495.03397607179</v>
      </c>
      <c r="K38" s="45" t="n">
        <f aca="false">$G38*$C38</f>
        <v>0</v>
      </c>
    </row>
    <row r="39" customFormat="false" ht="15" hidden="false" customHeight="false" outlineLevel="0" collapsed="false">
      <c r="A39" s="46" t="n">
        <f aca="false">2026+34</f>
        <v>2060</v>
      </c>
      <c r="B39" s="46" t="n">
        <f aca="false">Eingaben!$C$5+34</f>
        <v>74</v>
      </c>
      <c r="C39" s="45" t="n">
        <f aca="false">IF(34&lt;50,INDEX(Ansparphase!$AG$8:$AG$57,34+1),0)</f>
        <v>0</v>
      </c>
      <c r="D39" s="45" t="n">
        <f aca="false">-$C39+IF(AND($B39&gt;=Eingaben!$C$6,$B39&lt;=Eingaben!$C$6+34-1),INDEX(Auszahlung!$AG$8:$AG$41,$B39-Eingaben!$C$6+1),0)</f>
        <v>-5726.82761096591</v>
      </c>
      <c r="E39" s="45" t="n">
        <f aca="false">-$C39+IF(AND($B39&gt;=Eingaben!$C$6,$B39&lt;=Eingaben!$C$6+34-1),INDEX(Auszahlung!$AT$8:$AT$41,$B39-Eingaben!$C$6+1),0)</f>
        <v>15983.6237568165</v>
      </c>
      <c r="F39" s="45" t="n">
        <f aca="false">-$C39+IF(AND($B39&gt;=Eingaben!$C$6,$B39&lt;=Eingaben!$C$6+34-1),INDEX(Auszahlung!$AZ$8:$AZ$41,$B39-Eingaben!$C$6+1),0)</f>
        <v>14335.2556387445</v>
      </c>
      <c r="G39" s="47" t="n">
        <f aca="false">1/(1+Eingaben!$C$37)^34</f>
        <v>0.510028165626483</v>
      </c>
      <c r="H39" s="45" t="n">
        <f aca="false">$G39*(D39+$C39)</f>
        <v>-2920.84338128004</v>
      </c>
      <c r="I39" s="45" t="n">
        <f aca="false">$G39*(E39+$C39)</f>
        <v>8152.09830475298</v>
      </c>
      <c r="J39" s="45" t="n">
        <f aca="false">$G39*(F39+$C39)</f>
        <v>7311.38413721557</v>
      </c>
      <c r="K39" s="45" t="n">
        <f aca="false">$G39*$C39</f>
        <v>0</v>
      </c>
    </row>
    <row r="40" customFormat="false" ht="15" hidden="false" customHeight="false" outlineLevel="0" collapsed="false">
      <c r="A40" s="46" t="n">
        <f aca="false">2026+35</f>
        <v>2061</v>
      </c>
      <c r="B40" s="46" t="n">
        <f aca="false">Eingaben!$C$5+35</f>
        <v>75</v>
      </c>
      <c r="C40" s="45" t="n">
        <f aca="false">IF(35&lt;50,INDEX(Ansparphase!$AG$8:$AG$57,35+1),0)</f>
        <v>0</v>
      </c>
      <c r="D40" s="45" t="n">
        <f aca="false">-$C40+IF(AND($B40&gt;=Eingaben!$C$6,$B40&lt;=Eingaben!$C$6+34-1),INDEX(Auszahlung!$AG$8:$AG$41,$B40-Eingaben!$C$6+1),0)</f>
        <v>-5739.19734456058</v>
      </c>
      <c r="E40" s="45" t="n">
        <f aca="false">-$C40+IF(AND($B40&gt;=Eingaben!$C$6,$B40&lt;=Eingaben!$C$6+34-1),INDEX(Auszahlung!$AT$8:$AT$41,$B40-Eingaben!$C$6+1),0)</f>
        <v>15988.1894877784</v>
      </c>
      <c r="F40" s="45" t="n">
        <f aca="false">-$C40+IF(AND($B40&gt;=Eingaben!$C$6,$B40&lt;=Eingaben!$C$6+34-1),INDEX(Auszahlung!$AZ$8:$AZ$41,$B40-Eingaben!$C$6+1),0)</f>
        <v>14267.9016652599</v>
      </c>
      <c r="G40" s="47" t="n">
        <f aca="false">1/(1+Eingaben!$C$37)^35</f>
        <v>0.500027613359297</v>
      </c>
      <c r="H40" s="45" t="n">
        <f aca="false">$G40*(D40+$C40)</f>
        <v>-2869.75715079864</v>
      </c>
      <c r="I40" s="45" t="n">
        <f aca="false">$G40*(E40+$C40)</f>
        <v>7994.53623151003</v>
      </c>
      <c r="J40" s="45" t="n">
        <f aca="false">$G40*(F40+$C40)</f>
        <v>7134.34481732505</v>
      </c>
      <c r="K40" s="45" t="n">
        <f aca="false">$G40*$C40</f>
        <v>0</v>
      </c>
    </row>
    <row r="41" customFormat="false" ht="15" hidden="false" customHeight="false" outlineLevel="0" collapsed="false">
      <c r="A41" s="46" t="n">
        <f aca="false">2026+36</f>
        <v>2062</v>
      </c>
      <c r="B41" s="46" t="n">
        <f aca="false">Eingaben!$C$5+36</f>
        <v>76</v>
      </c>
      <c r="C41" s="45" t="n">
        <f aca="false">IF(36&lt;50,INDEX(Ansparphase!$AG$8:$AG$57,36+1),0)</f>
        <v>0</v>
      </c>
      <c r="D41" s="45" t="n">
        <f aca="false">-$C41+IF(AND($B41&gt;=Eingaben!$C$6,$B41&lt;=Eingaben!$C$6+34-1),INDEX(Auszahlung!$AG$8:$AG$41,$B41-Eingaben!$C$6+1),0)</f>
        <v>-5751.91244055441</v>
      </c>
      <c r="E41" s="45" t="n">
        <f aca="false">-$C41+IF(AND($B41&gt;=Eingaben!$C$6,$B41&lt;=Eingaben!$C$6+34-1),INDEX(Auszahlung!$AT$8:$AT$41,$B41-Eingaben!$C$6+1),0)</f>
        <v>15992.6656946038</v>
      </c>
      <c r="F41" s="45" t="n">
        <f aca="false">-$C41+IF(AND($B41&gt;=Eingaben!$C$6,$B41&lt;=Eingaben!$C$6+34-1),INDEX(Auszahlung!$AZ$8:$AZ$41,$B41-Eingaben!$C$6+1),0)</f>
        <v>14204.8361470159</v>
      </c>
      <c r="G41" s="47" t="n">
        <f aca="false">1/(1+Eingaben!$C$37)^36</f>
        <v>0.490223150352252</v>
      </c>
      <c r="H41" s="45" t="n">
        <f aca="false">$G41*(D41+$C41)</f>
        <v>-2819.72063715889</v>
      </c>
      <c r="I41" s="45" t="n">
        <f aca="false">$G41*(E41+$C41)</f>
        <v>7839.97495933906</v>
      </c>
      <c r="J41" s="45" t="n">
        <f aca="false">$G41*(F41+$C41)</f>
        <v>6963.53952622766</v>
      </c>
      <c r="K41" s="45" t="n">
        <f aca="false">$G41*$C41</f>
        <v>0</v>
      </c>
    </row>
    <row r="42" customFormat="false" ht="15" hidden="false" customHeight="false" outlineLevel="0" collapsed="false">
      <c r="A42" s="46" t="n">
        <f aca="false">2026+37</f>
        <v>2063</v>
      </c>
      <c r="B42" s="46" t="n">
        <f aca="false">Eingaben!$C$5+37</f>
        <v>77</v>
      </c>
      <c r="C42" s="45" t="n">
        <f aca="false">IF(37&lt;50,INDEX(Ansparphase!$AG$8:$AG$57,37+1),0)</f>
        <v>0</v>
      </c>
      <c r="D42" s="45" t="n">
        <f aca="false">-$C42+IF(AND($B42&gt;=Eingaben!$C$6,$B42&lt;=Eingaben!$C$6+34-1),INDEX(Auszahlung!$AG$8:$AG$41,$B42-Eingaben!$C$6+1),0)</f>
        <v>-1340.93595176985</v>
      </c>
      <c r="E42" s="45" t="n">
        <f aca="false">-$C42+IF(AND($B42&gt;=Eingaben!$C$6,$B42&lt;=Eingaben!$C$6+34-1),INDEX(Auszahlung!$AT$8:$AT$41,$B42-Eingaben!$C$6+1),0)</f>
        <v>15997.0541326679</v>
      </c>
      <c r="F42" s="45" t="n">
        <f aca="false">-$C42+IF(AND($B42&gt;=Eingaben!$C$6,$B42&lt;=Eingaben!$C$6+34-1),INDEX(Auszahlung!$AZ$8:$AZ$41,$B42-Eingaben!$C$6+1),0)</f>
        <v>14145.7860363005</v>
      </c>
      <c r="G42" s="47" t="n">
        <f aca="false">1/(1+Eingaben!$C$37)^37</f>
        <v>0.480610931717894</v>
      </c>
      <c r="H42" s="45" t="n">
        <f aca="false">$G42*(D42+$C42)</f>
        <v>-644.46847715413</v>
      </c>
      <c r="I42" s="45" t="n">
        <f aca="false">$G42*(E42+$C42)</f>
        <v>7688.35909144311</v>
      </c>
      <c r="J42" s="45" t="n">
        <f aca="false">$G42*(F42+$C42)</f>
        <v>6798.61940678835</v>
      </c>
      <c r="K42" s="45" t="n">
        <f aca="false">$G42*$C42</f>
        <v>0</v>
      </c>
    </row>
    <row r="43" customFormat="false" ht="15" hidden="false" customHeight="false" outlineLevel="0" collapsed="false">
      <c r="A43" s="46" t="n">
        <f aca="false">2026+38</f>
        <v>2064</v>
      </c>
      <c r="B43" s="46" t="n">
        <f aca="false">Eingaben!$C$5+38</f>
        <v>78</v>
      </c>
      <c r="C43" s="45" t="n">
        <f aca="false">IF(38&lt;50,INDEX(Ansparphase!$AG$8:$AG$57,38+1),0)</f>
        <v>0</v>
      </c>
      <c r="D43" s="45" t="n">
        <f aca="false">-$C43+IF(AND($B43&gt;=Eingaben!$C$6,$B43&lt;=Eingaben!$C$6+34-1),INDEX(Auszahlung!$AG$8:$AG$41,$B43-Eingaben!$C$6+1),0)</f>
        <v>-1374.47181459887</v>
      </c>
      <c r="E43" s="45" t="n">
        <f aca="false">-$C43+IF(AND($B43&gt;=Eingaben!$C$6,$B43&lt;=Eingaben!$C$6+34-1),INDEX(Auszahlung!$AT$8:$AT$41,$B43-Eingaben!$C$6+1),0)</f>
        <v>16001.3565229269</v>
      </c>
      <c r="F43" s="45" t="n">
        <f aca="false">-$C43+IF(AND($B43&gt;=Eingaben!$C$6,$B43&lt;=Eingaben!$C$6+34-1),INDEX(Auszahlung!$AZ$8:$AZ$41,$B43-Eingaben!$C$6+1),0)</f>
        <v>14090.4956704621</v>
      </c>
      <c r="G43" s="47" t="n">
        <f aca="false">1/(1+Eingaben!$C$37)^38</f>
        <v>0.47118718795872</v>
      </c>
      <c r="H43" s="45" t="n">
        <f aca="false">$G43*(D43+$C43)</f>
        <v>-647.63350924936</v>
      </c>
      <c r="I43" s="45" t="n">
        <f aca="false">$G43*(E43+$C43)</f>
        <v>7539.63418356282</v>
      </c>
      <c r="J43" s="45" t="n">
        <f aca="false">$G43*(F43+$C43)</f>
        <v>6639.26103190955</v>
      </c>
      <c r="K43" s="45" t="n">
        <f aca="false">$G43*$C43</f>
        <v>0</v>
      </c>
    </row>
    <row r="44" customFormat="false" ht="15" hidden="false" customHeight="false" outlineLevel="0" collapsed="false">
      <c r="A44" s="46" t="n">
        <f aca="false">2026+39</f>
        <v>2065</v>
      </c>
      <c r="B44" s="46" t="n">
        <f aca="false">Eingaben!$C$5+39</f>
        <v>79</v>
      </c>
      <c r="C44" s="45" t="n">
        <f aca="false">IF(39&lt;50,INDEX(Ansparphase!$AG$8:$AG$57,39+1),0)</f>
        <v>0</v>
      </c>
      <c r="D44" s="45" t="n">
        <f aca="false">-$C44+IF(AND($B44&gt;=Eingaben!$C$6,$B44&lt;=Eingaben!$C$6+34-1),INDEX(Auszahlung!$AG$8:$AG$41,$B44-Eingaben!$C$6+1),0)</f>
        <v>-1408.84644822515</v>
      </c>
      <c r="E44" s="45" t="n">
        <f aca="false">-$C44+IF(AND($B44&gt;=Eingaben!$C$6,$B44&lt;=Eingaben!$C$6+34-1),INDEX(Auszahlung!$AT$8:$AT$41,$B44-Eingaben!$C$6+1),0)</f>
        <v>16005.5745525925</v>
      </c>
      <c r="F44" s="45" t="n">
        <f aca="false">-$C44+IF(AND($B44&gt;=Eingaben!$C$6,$B44&lt;=Eingaben!$C$6+34-1),INDEX(Auszahlung!$AZ$8:$AZ$41,$B44-Eingaben!$C$6+1),0)</f>
        <v>14038.7256649955</v>
      </c>
      <c r="G44" s="47" t="n">
        <f aca="false">1/(1+Eingaben!$C$37)^39</f>
        <v>0.461948223488941</v>
      </c>
      <c r="H44" s="45" t="n">
        <f aca="false">$G44*(D44+$C44)</f>
        <v>-650.814113926311</v>
      </c>
      <c r="I44" s="45" t="n">
        <f aca="false">$G44*(E44+$C44)</f>
        <v>7393.7467304899</v>
      </c>
      <c r="J44" s="45" t="n">
        <f aca="false">$G44*(F44+$C44)</f>
        <v>6485.16438099325</v>
      </c>
      <c r="K44" s="45" t="n">
        <f aca="false">$G44*$C44</f>
        <v>0</v>
      </c>
    </row>
    <row r="45" customFormat="false" ht="15" hidden="false" customHeight="false" outlineLevel="0" collapsed="false">
      <c r="A45" s="46" t="n">
        <f aca="false">2026+40</f>
        <v>2066</v>
      </c>
      <c r="B45" s="46" t="n">
        <f aca="false">Eingaben!$C$5+40</f>
        <v>80</v>
      </c>
      <c r="C45" s="45" t="n">
        <f aca="false">IF(40&lt;50,INDEX(Ansparphase!$AG$8:$AG$57,40+1),0)</f>
        <v>0</v>
      </c>
      <c r="D45" s="45" t="n">
        <f aca="false">-$C45+IF(AND($B45&gt;=Eingaben!$C$6,$B45&lt;=Eingaben!$C$6+34-1),INDEX(Auszahlung!$AG$8:$AG$41,$B45-Eingaben!$C$6+1),0)</f>
        <v>-1444.08083315458</v>
      </c>
      <c r="E45" s="45" t="n">
        <f aca="false">-$C45+IF(AND($B45&gt;=Eingaben!$C$6,$B45&lt;=Eingaben!$C$6+34-1),INDEX(Auszahlung!$AT$8:$AT$41,$B45-Eingaben!$C$6+1),0)</f>
        <v>16009.7098757941</v>
      </c>
      <c r="F45" s="45" t="n">
        <f aca="false">-$C45+IF(AND($B45&gt;=Eingaben!$C$6,$B45&lt;=Eingaben!$C$6+34-1),INDEX(Auszahlung!$AZ$8:$AZ$41,$B45-Eingaben!$C$6+1),0)</f>
        <v>13990.2518771053</v>
      </c>
      <c r="G45" s="47" t="n">
        <f aca="false">1/(1+Eingaben!$C$37)^40</f>
        <v>0.452890415185236</v>
      </c>
      <c r="H45" s="45" t="n">
        <f aca="false">$G45*(D45+$C45)</f>
        <v>-654.010368088421</v>
      </c>
      <c r="I45" s="45" t="n">
        <f aca="false">$G45*(E45+$C45)</f>
        <v>7250.64415264356</v>
      </c>
      <c r="J45" s="45" t="n">
        <f aca="false">$G45*(F45+$C45)</f>
        <v>6336.05098116826</v>
      </c>
      <c r="K45" s="45" t="n">
        <f aca="false">$G45*$C45</f>
        <v>0</v>
      </c>
    </row>
    <row r="46" customFormat="false" ht="15" hidden="false" customHeight="false" outlineLevel="0" collapsed="false">
      <c r="A46" s="46" t="n">
        <f aca="false">2026+41</f>
        <v>2067</v>
      </c>
      <c r="B46" s="46" t="n">
        <f aca="false">Eingaben!$C$5+41</f>
        <v>81</v>
      </c>
      <c r="C46" s="45" t="n">
        <f aca="false">IF(41&lt;50,INDEX(Ansparphase!$AG$8:$AG$57,41+1),0)</f>
        <v>0</v>
      </c>
      <c r="D46" s="45" t="n">
        <f aca="false">-$C46+IF(AND($B46&gt;=Eingaben!$C$6,$B46&lt;=Eingaben!$C$6+34-1),INDEX(Auszahlung!$AG$8:$AG$41,$B46-Eingaben!$C$6+1),0)</f>
        <v>-1480.19647474308</v>
      </c>
      <c r="E46" s="45" t="n">
        <f aca="false">-$C46+IF(AND($B46&gt;=Eingaben!$C$6,$B46&lt;=Eingaben!$C$6+34-1),INDEX(Auszahlung!$AT$8:$AT$41,$B46-Eingaben!$C$6+1),0)</f>
        <v>16013.764114227</v>
      </c>
      <c r="F46" s="45" t="n">
        <f aca="false">-$C46+IF(AND($B46&gt;=Eingaben!$C$6,$B46&lt;=Eingaben!$C$6+34-1),INDEX(Auszahlung!$AZ$8:$AZ$41,$B46-Eingaben!$C$6+1),0)</f>
        <v>13944.8644352607</v>
      </c>
      <c r="G46" s="47" t="n">
        <f aca="false">1/(1+Eingaben!$C$37)^41</f>
        <v>0.444010210965918</v>
      </c>
      <c r="H46" s="45" t="n">
        <f aca="false">$G46*(D46+$C46)</f>
        <v>-657.222349021683</v>
      </c>
      <c r="I46" s="45" t="n">
        <f aca="false">$G46*(E46+$C46)</f>
        <v>7110.27478271639</v>
      </c>
      <c r="J46" s="45" t="n">
        <f aca="false">$G46*(F46+$C46)</f>
        <v>6191.66219979121</v>
      </c>
      <c r="K46" s="45" t="n">
        <f aca="false">$G46*$C46</f>
        <v>0</v>
      </c>
    </row>
    <row r="47" customFormat="false" ht="15" hidden="false" customHeight="false" outlineLevel="0" collapsed="false">
      <c r="A47" s="46" t="n">
        <f aca="false">2026+42</f>
        <v>2068</v>
      </c>
      <c r="B47" s="46" t="n">
        <f aca="false">Eingaben!$C$5+42</f>
        <v>82</v>
      </c>
      <c r="C47" s="45" t="n">
        <f aca="false">IF(42&lt;50,INDEX(Ansparphase!$AG$8:$AG$57,42+1),0)</f>
        <v>0</v>
      </c>
      <c r="D47" s="45" t="n">
        <f aca="false">-$C47+IF(AND($B47&gt;=Eingaben!$C$6,$B47&lt;=Eingaben!$C$6+34-1),INDEX(Auszahlung!$AG$8:$AG$41,$B47-Eingaben!$C$6+1),0)</f>
        <v>-1517.21541632792</v>
      </c>
      <c r="E47" s="45" t="n">
        <f aca="false">-$C47+IF(AND($B47&gt;=Eingaben!$C$6,$B47&lt;=Eingaben!$C$6+34-1),INDEX(Auszahlung!$AT$8:$AT$41,$B47-Eingaben!$C$6+1),0)</f>
        <v>16017.7388577887</v>
      </c>
      <c r="F47" s="45" t="n">
        <f aca="false">-$C47+IF(AND($B47&gt;=Eingaben!$C$6,$B47&lt;=Eingaben!$C$6+34-1),INDEX(Auszahlung!$AZ$8:$AZ$41,$B47-Eingaben!$C$6+1),0)</f>
        <v>13902.3668305372</v>
      </c>
      <c r="G47" s="47" t="n">
        <f aca="false">1/(1+Eingaben!$C$37)^42</f>
        <v>0.435304128397959</v>
      </c>
      <c r="H47" s="45" t="n">
        <f aca="false">$G47*(D47+$C47)</f>
        <v>-660.450134396572</v>
      </c>
      <c r="I47" s="45" t="n">
        <f aca="false">$G47*(E47+$C47)</f>
        <v>6972.58785239584</v>
      </c>
      <c r="J47" s="45" t="n">
        <f aca="false">$G47*(F47+$C47)</f>
        <v>6051.75767583567</v>
      </c>
      <c r="K47" s="45" t="n">
        <f aca="false">$G47*$C47</f>
        <v>0</v>
      </c>
    </row>
    <row r="48" customFormat="false" ht="15" hidden="false" customHeight="false" outlineLevel="0" collapsed="false">
      <c r="A48" s="46" t="n">
        <f aca="false">2026+43</f>
        <v>2069</v>
      </c>
      <c r="B48" s="46" t="n">
        <f aca="false">Eingaben!$C$5+43</f>
        <v>83</v>
      </c>
      <c r="C48" s="45" t="n">
        <f aca="false">IF(43&lt;50,INDEX(Ansparphase!$AG$8:$AG$57,43+1),0)</f>
        <v>0</v>
      </c>
      <c r="D48" s="45" t="n">
        <f aca="false">-$C48+IF(AND($B48&gt;=Eingaben!$C$6,$B48&lt;=Eingaben!$C$6+34-1),INDEX(Auszahlung!$AG$8:$AG$41,$B48-Eingaben!$C$6+1),0)</f>
        <v>-1555.16025268774</v>
      </c>
      <c r="E48" s="45" t="n">
        <f aca="false">-$C48+IF(AND($B48&gt;=Eingaben!$C$6,$B48&lt;=Eingaben!$C$6+34-1),INDEX(Auszahlung!$AT$8:$AT$41,$B48-Eingaben!$C$6+1),0)</f>
        <v>14587.1571692905</v>
      </c>
      <c r="F48" s="45" t="n">
        <f aca="false">-$C48+IF(AND($B48&gt;=Eingaben!$C$6,$B48&lt;=Eingaben!$C$6+34-1),INDEX(Auszahlung!$AZ$8:$AZ$41,$B48-Eingaben!$C$6+1),0)</f>
        <v>10718.9808278092</v>
      </c>
      <c r="G48" s="47" t="n">
        <f aca="false">1/(1+Eingaben!$C$37)^43</f>
        <v>0.426768753331332</v>
      </c>
      <c r="H48" s="45" t="n">
        <f aca="false">$G48*(D48+$C48)</f>
        <v>-663.693802269984</v>
      </c>
      <c r="I48" s="45" t="n">
        <f aca="false">$G48*(E48+$C48)</f>
        <v>6225.3428797863</v>
      </c>
      <c r="J48" s="45" t="n">
        <f aca="false">$G48*(F48+$C48)</f>
        <v>4574.52608486656</v>
      </c>
      <c r="K48" s="45" t="n">
        <f aca="false">$G48*$C48</f>
        <v>0</v>
      </c>
    </row>
    <row r="49" customFormat="false" ht="15" hidden="false" customHeight="false" outlineLevel="0" collapsed="false">
      <c r="A49" s="46" t="n">
        <f aca="false">2026+44</f>
        <v>2070</v>
      </c>
      <c r="B49" s="46" t="n">
        <f aca="false">Eingaben!$C$5+44</f>
        <v>84</v>
      </c>
      <c r="C49" s="45" t="n">
        <f aca="false">IF(44&lt;50,INDEX(Ansparphase!$AG$8:$AG$57,44+1),0)</f>
        <v>0</v>
      </c>
      <c r="D49" s="45" t="n">
        <f aca="false">-$C49+IF(AND($B49&gt;=Eingaben!$C$6,$B49&lt;=Eingaben!$C$6+34-1),INDEX(Auszahlung!$AG$8:$AG$41,$B49-Eingaben!$C$6+1),0)</f>
        <v>-1594.05414383928</v>
      </c>
      <c r="E49" s="45" t="n">
        <f aca="false">-$C49+IF(AND($B49&gt;=Eingaben!$C$6,$B49&lt;=Eingaben!$C$6+34-1),INDEX(Auszahlung!$AT$8:$AT$41,$B49-Eingaben!$C$6+1),0)</f>
        <v>0</v>
      </c>
      <c r="F49" s="45" t="n">
        <f aca="false">-$C49+IF(AND($B49&gt;=Eingaben!$C$6,$B49&lt;=Eingaben!$C$6+34-1),INDEX(Auszahlung!$AZ$8:$AZ$41,$B49-Eingaben!$C$6+1),0)</f>
        <v>0</v>
      </c>
      <c r="G49" s="47" t="n">
        <f aca="false">1/(1+Eingaben!$C$37)^44</f>
        <v>0.418400738560129</v>
      </c>
      <c r="H49" s="45" t="n">
        <f aca="false">$G49*(D49+$C49)</f>
        <v>-666.953431087191</v>
      </c>
      <c r="I49" s="45" t="n">
        <f aca="false">$G49*(E49+$C49)</f>
        <v>0</v>
      </c>
      <c r="J49" s="45" t="n">
        <f aca="false">$G49*(F49+$C49)</f>
        <v>0</v>
      </c>
      <c r="K49" s="45" t="n">
        <f aca="false">$G49*$C49</f>
        <v>0</v>
      </c>
    </row>
    <row r="50" customFormat="false" ht="15" hidden="false" customHeight="false" outlineLevel="0" collapsed="false">
      <c r="A50" s="46" t="n">
        <f aca="false">2026+45</f>
        <v>2071</v>
      </c>
      <c r="B50" s="46" t="n">
        <f aca="false">Eingaben!$C$5+45</f>
        <v>85</v>
      </c>
      <c r="C50" s="45" t="n">
        <f aca="false">IF(45&lt;50,INDEX(Ansparphase!$AG$8:$AG$57,45+1),0)</f>
        <v>0</v>
      </c>
      <c r="D50" s="45" t="n">
        <f aca="false">-$C50+IF(AND($B50&gt;=Eingaben!$C$6,$B50&lt;=Eingaben!$C$6+34-1),INDEX(Auszahlung!$AG$8:$AG$41,$B50-Eingaben!$C$6+1),0)</f>
        <v>-1633.92082917948</v>
      </c>
      <c r="E50" s="45" t="n">
        <f aca="false">-$C50+IF(AND($B50&gt;=Eingaben!$C$6,$B50&lt;=Eingaben!$C$6+34-1),INDEX(Auszahlung!$AT$8:$AT$41,$B50-Eingaben!$C$6+1),0)</f>
        <v>0</v>
      </c>
      <c r="F50" s="45" t="n">
        <f aca="false">-$C50+IF(AND($B50&gt;=Eingaben!$C$6,$B50&lt;=Eingaben!$C$6+34-1),INDEX(Auszahlung!$AZ$8:$AZ$41,$B50-Eingaben!$C$6+1),0)</f>
        <v>0</v>
      </c>
      <c r="G50" s="47" t="n">
        <f aca="false">1/(1+Eingaben!$C$37)^45</f>
        <v>0.410196802509931</v>
      </c>
      <c r="H50" s="45" t="n">
        <f aca="false">$G50*(D50+$C50)</f>
        <v>-670.229099683797</v>
      </c>
      <c r="I50" s="45" t="n">
        <f aca="false">$G50*(E50+$C50)</f>
        <v>0</v>
      </c>
      <c r="J50" s="45" t="n">
        <f aca="false">$G50*(F50+$C50)</f>
        <v>0</v>
      </c>
      <c r="K50" s="45" t="n">
        <f aca="false">$G50*$C50</f>
        <v>0</v>
      </c>
    </row>
    <row r="51" customFormat="false" ht="15" hidden="false" customHeight="false" outlineLevel="0" collapsed="false">
      <c r="A51" s="46" t="n">
        <f aca="false">2026+46</f>
        <v>2072</v>
      </c>
      <c r="B51" s="46" t="n">
        <f aca="false">Eingaben!$C$5+46</f>
        <v>86</v>
      </c>
      <c r="C51" s="45" t="n">
        <f aca="false">IF(46&lt;50,INDEX(Ansparphase!$AG$8:$AG$57,46+1),0)</f>
        <v>0</v>
      </c>
      <c r="D51" s="45" t="n">
        <f aca="false">-$C51+IF(AND($B51&gt;=Eingaben!$C$6,$B51&lt;=Eingaben!$C$6+34-1),INDEX(Auszahlung!$AG$8:$AG$41,$B51-Eingaben!$C$6+1),0)</f>
        <v>0</v>
      </c>
      <c r="E51" s="45" t="n">
        <f aca="false">-$C51+IF(AND($B51&gt;=Eingaben!$C$6,$B51&lt;=Eingaben!$C$6+34-1),INDEX(Auszahlung!$AT$8:$AT$41,$B51-Eingaben!$C$6+1),0)</f>
        <v>0</v>
      </c>
      <c r="F51" s="45" t="n">
        <f aca="false">-$C51+IF(AND($B51&gt;=Eingaben!$C$6,$B51&lt;=Eingaben!$C$6+34-1),INDEX(Auszahlung!$AZ$8:$AZ$41,$B51-Eingaben!$C$6+1),0)</f>
        <v>0</v>
      </c>
      <c r="G51" s="47" t="n">
        <f aca="false">1/(1+Eingaben!$C$37)^46</f>
        <v>0.402153727950912</v>
      </c>
      <c r="H51" s="45" t="n">
        <f aca="false">$G51*(D51+$C51)</f>
        <v>0</v>
      </c>
      <c r="I51" s="45" t="n">
        <f aca="false">$G51*(E51+$C51)</f>
        <v>0</v>
      </c>
      <c r="J51" s="45" t="n">
        <f aca="false">$G51*(F51+$C51)</f>
        <v>0</v>
      </c>
      <c r="K51" s="45" t="n">
        <f aca="false">$G51*$C51</f>
        <v>0</v>
      </c>
    </row>
    <row r="52" customFormat="false" ht="15" hidden="false" customHeight="false" outlineLevel="0" collapsed="false">
      <c r="A52" s="46" t="n">
        <f aca="false">2026+47</f>
        <v>2073</v>
      </c>
      <c r="B52" s="46" t="n">
        <f aca="false">Eingaben!$C$5+47</f>
        <v>87</v>
      </c>
      <c r="C52" s="45" t="n">
        <f aca="false">IF(47&lt;50,INDEX(Ansparphase!$AG$8:$AG$57,47+1),0)</f>
        <v>0</v>
      </c>
      <c r="D52" s="45" t="n">
        <f aca="false">-$C52+IF(AND($B52&gt;=Eingaben!$C$6,$B52&lt;=Eingaben!$C$6+34-1),INDEX(Auszahlung!$AG$8:$AG$41,$B52-Eingaben!$C$6+1),0)</f>
        <v>0</v>
      </c>
      <c r="E52" s="45" t="n">
        <f aca="false">-$C52+IF(AND($B52&gt;=Eingaben!$C$6,$B52&lt;=Eingaben!$C$6+34-1),INDEX(Auszahlung!$AT$8:$AT$41,$B52-Eingaben!$C$6+1),0)</f>
        <v>0</v>
      </c>
      <c r="F52" s="45" t="n">
        <f aca="false">-$C52+IF(AND($B52&gt;=Eingaben!$C$6,$B52&lt;=Eingaben!$C$6+34-1),INDEX(Auszahlung!$AZ$8:$AZ$41,$B52-Eingaben!$C$6+1),0)</f>
        <v>0</v>
      </c>
      <c r="G52" s="47" t="n">
        <f aca="false">1/(1+Eingaben!$C$37)^47</f>
        <v>0.394268360736189</v>
      </c>
      <c r="H52" s="45" t="n">
        <f aca="false">$G52*(D52+$C52)</f>
        <v>0</v>
      </c>
      <c r="I52" s="45" t="n">
        <f aca="false">$G52*(E52+$C52)</f>
        <v>0</v>
      </c>
      <c r="J52" s="45" t="n">
        <f aca="false">$G52*(F52+$C52)</f>
        <v>0</v>
      </c>
      <c r="K52" s="45" t="n">
        <f aca="false">$G52*$C52</f>
        <v>0</v>
      </c>
    </row>
    <row r="53" customFormat="false" ht="15" hidden="false" customHeight="false" outlineLevel="0" collapsed="false">
      <c r="A53" s="46" t="n">
        <f aca="false">2026+48</f>
        <v>2074</v>
      </c>
      <c r="B53" s="46" t="n">
        <f aca="false">Eingaben!$C$5+48</f>
        <v>88</v>
      </c>
      <c r="C53" s="45" t="n">
        <f aca="false">IF(48&lt;50,INDEX(Ansparphase!$AG$8:$AG$57,48+1),0)</f>
        <v>0</v>
      </c>
      <c r="D53" s="45" t="n">
        <f aca="false">-$C53+IF(AND($B53&gt;=Eingaben!$C$6,$B53&lt;=Eingaben!$C$6+34-1),INDEX(Auszahlung!$AG$8:$AG$41,$B53-Eingaben!$C$6+1),0)</f>
        <v>0</v>
      </c>
      <c r="E53" s="45" t="n">
        <f aca="false">-$C53+IF(AND($B53&gt;=Eingaben!$C$6,$B53&lt;=Eingaben!$C$6+34-1),INDEX(Auszahlung!$AT$8:$AT$41,$B53-Eingaben!$C$6+1),0)</f>
        <v>0</v>
      </c>
      <c r="F53" s="45" t="n">
        <f aca="false">-$C53+IF(AND($B53&gt;=Eingaben!$C$6,$B53&lt;=Eingaben!$C$6+34-1),INDEX(Auszahlung!$AZ$8:$AZ$41,$B53-Eingaben!$C$6+1),0)</f>
        <v>0</v>
      </c>
      <c r="G53" s="47" t="n">
        <f aca="false">1/(1+Eingaben!$C$37)^48</f>
        <v>0.386537608564891</v>
      </c>
      <c r="H53" s="45" t="n">
        <f aca="false">$G53*(D53+$C53)</f>
        <v>0</v>
      </c>
      <c r="I53" s="45" t="n">
        <f aca="false">$G53*(E53+$C53)</f>
        <v>0</v>
      </c>
      <c r="J53" s="45" t="n">
        <f aca="false">$G53*(F53+$C53)</f>
        <v>0</v>
      </c>
      <c r="K53" s="45" t="n">
        <f aca="false">$G53*$C53</f>
        <v>0</v>
      </c>
    </row>
    <row r="54" customFormat="false" ht="15" hidden="false" customHeight="false" outlineLevel="0" collapsed="false">
      <c r="A54" s="46" t="n">
        <f aca="false">2026+49</f>
        <v>2075</v>
      </c>
      <c r="B54" s="46" t="n">
        <f aca="false">Eingaben!$C$5+49</f>
        <v>89</v>
      </c>
      <c r="C54" s="45" t="n">
        <f aca="false">IF(49&lt;50,INDEX(Ansparphase!$AG$8:$AG$57,49+1),0)</f>
        <v>0</v>
      </c>
      <c r="D54" s="45" t="n">
        <f aca="false">-$C54+IF(AND($B54&gt;=Eingaben!$C$6,$B54&lt;=Eingaben!$C$6+34-1),INDEX(Auszahlung!$AG$8:$AG$41,$B54-Eingaben!$C$6+1),0)</f>
        <v>0</v>
      </c>
      <c r="E54" s="45" t="n">
        <f aca="false">-$C54+IF(AND($B54&gt;=Eingaben!$C$6,$B54&lt;=Eingaben!$C$6+34-1),INDEX(Auszahlung!$AT$8:$AT$41,$B54-Eingaben!$C$6+1),0)</f>
        <v>0</v>
      </c>
      <c r="F54" s="45" t="n">
        <f aca="false">-$C54+IF(AND($B54&gt;=Eingaben!$C$6,$B54&lt;=Eingaben!$C$6+34-1),INDEX(Auszahlung!$AZ$8:$AZ$41,$B54-Eingaben!$C$6+1),0)</f>
        <v>0</v>
      </c>
      <c r="G54" s="47" t="n">
        <f aca="false">1/(1+Eingaben!$C$37)^49</f>
        <v>0.378958439769501</v>
      </c>
      <c r="H54" s="45" t="n">
        <f aca="false">$G54*(D54+$C54)</f>
        <v>0</v>
      </c>
      <c r="I54" s="45" t="n">
        <f aca="false">$G54*(E54+$C54)</f>
        <v>0</v>
      </c>
      <c r="J54" s="45" t="n">
        <f aca="false">$G54*(F54+$C54)</f>
        <v>0</v>
      </c>
      <c r="K54" s="45" t="n">
        <f aca="false">$G54*$C54</f>
        <v>0</v>
      </c>
    </row>
    <row r="55" customFormat="false" ht="15" hidden="false" customHeight="false" outlineLevel="0" collapsed="false">
      <c r="A55" s="46" t="n">
        <f aca="false">2026+50</f>
        <v>2076</v>
      </c>
      <c r="B55" s="46" t="n">
        <f aca="false">Eingaben!$C$5+50</f>
        <v>90</v>
      </c>
      <c r="C55" s="45" t="n">
        <f aca="false">IF(50&lt;50,INDEX(Ansparphase!$AG$8:$AG$57,50+1),0)</f>
        <v>0</v>
      </c>
      <c r="D55" s="45" t="n">
        <f aca="false">-$C55+IF(AND($B55&gt;=Eingaben!$C$6,$B55&lt;=Eingaben!$C$6+34-1),INDEX(Auszahlung!$AG$8:$AG$41,$B55-Eingaben!$C$6+1),0)</f>
        <v>0</v>
      </c>
      <c r="E55" s="45" t="n">
        <f aca="false">-$C55+IF(AND($B55&gt;=Eingaben!$C$6,$B55&lt;=Eingaben!$C$6+34-1),INDEX(Auszahlung!$AT$8:$AT$41,$B55-Eingaben!$C$6+1),0)</f>
        <v>0</v>
      </c>
      <c r="F55" s="45" t="n">
        <f aca="false">-$C55+IF(AND($B55&gt;=Eingaben!$C$6,$B55&lt;=Eingaben!$C$6+34-1),INDEX(Auszahlung!$AZ$8:$AZ$41,$B55-Eingaben!$C$6+1),0)</f>
        <v>0</v>
      </c>
      <c r="G55" s="47" t="n">
        <f aca="false">1/(1+Eingaben!$C$37)^50</f>
        <v>0.371527882126962</v>
      </c>
      <c r="H55" s="45" t="n">
        <f aca="false">$G55*(D55+$C55)</f>
        <v>0</v>
      </c>
      <c r="I55" s="45" t="n">
        <f aca="false">$G55*(E55+$C55)</f>
        <v>0</v>
      </c>
      <c r="J55" s="45" t="n">
        <f aca="false">$G55*(F55+$C55)</f>
        <v>0</v>
      </c>
      <c r="K55" s="45" t="n">
        <f aca="false">$G55*$C55</f>
        <v>0</v>
      </c>
    </row>
    <row r="56" customFormat="false" ht="15" hidden="false" customHeight="false" outlineLevel="0" collapsed="false">
      <c r="A56" s="46" t="n">
        <f aca="false">2026+51</f>
        <v>2077</v>
      </c>
      <c r="B56" s="46" t="n">
        <f aca="false">Eingaben!$C$5+51</f>
        <v>91</v>
      </c>
      <c r="C56" s="45" t="n">
        <f aca="false">IF(51&lt;50,INDEX(Ansparphase!$AG$8:$AG$57,51+1),0)</f>
        <v>0</v>
      </c>
      <c r="D56" s="45" t="n">
        <f aca="false">-$C56+IF(AND($B56&gt;=Eingaben!$C$6,$B56&lt;=Eingaben!$C$6+34-1),INDEX(Auszahlung!$AG$8:$AG$41,$B56-Eingaben!$C$6+1),0)</f>
        <v>0</v>
      </c>
      <c r="E56" s="45" t="n">
        <f aca="false">-$C56+IF(AND($B56&gt;=Eingaben!$C$6,$B56&lt;=Eingaben!$C$6+34-1),INDEX(Auszahlung!$AT$8:$AT$41,$B56-Eingaben!$C$6+1),0)</f>
        <v>0</v>
      </c>
      <c r="F56" s="45" t="n">
        <f aca="false">-$C56+IF(AND($B56&gt;=Eingaben!$C$6,$B56&lt;=Eingaben!$C$6+34-1),INDEX(Auszahlung!$AZ$8:$AZ$41,$B56-Eingaben!$C$6+1),0)</f>
        <v>0</v>
      </c>
      <c r="G56" s="47" t="n">
        <f aca="false">1/(1+Eingaben!$C$37)^51</f>
        <v>0.3642430216931</v>
      </c>
      <c r="H56" s="45" t="n">
        <f aca="false">$G56*(D56+$C56)</f>
        <v>0</v>
      </c>
      <c r="I56" s="45" t="n">
        <f aca="false">$G56*(E56+$C56)</f>
        <v>0</v>
      </c>
      <c r="J56" s="45" t="n">
        <f aca="false">$G56*(F56+$C56)</f>
        <v>0</v>
      </c>
      <c r="K56" s="45" t="n">
        <f aca="false">$G56*$C56</f>
        <v>0</v>
      </c>
    </row>
    <row r="57" customFormat="false" ht="15" hidden="false" customHeight="false" outlineLevel="0" collapsed="false">
      <c r="A57" s="46" t="n">
        <f aca="false">2026+52</f>
        <v>2078</v>
      </c>
      <c r="B57" s="46" t="n">
        <f aca="false">Eingaben!$C$5+52</f>
        <v>92</v>
      </c>
      <c r="C57" s="45" t="n">
        <f aca="false">IF(52&lt;50,INDEX(Ansparphase!$AG$8:$AG$57,52+1),0)</f>
        <v>0</v>
      </c>
      <c r="D57" s="45" t="n">
        <f aca="false">-$C57+IF(AND($B57&gt;=Eingaben!$C$6,$B57&lt;=Eingaben!$C$6+34-1),INDEX(Auszahlung!$AG$8:$AG$41,$B57-Eingaben!$C$6+1),0)</f>
        <v>0</v>
      </c>
      <c r="E57" s="45" t="n">
        <f aca="false">-$C57+IF(AND($B57&gt;=Eingaben!$C$6,$B57&lt;=Eingaben!$C$6+34-1),INDEX(Auszahlung!$AT$8:$AT$41,$B57-Eingaben!$C$6+1),0)</f>
        <v>0</v>
      </c>
      <c r="F57" s="45" t="n">
        <f aca="false">-$C57+IF(AND($B57&gt;=Eingaben!$C$6,$B57&lt;=Eingaben!$C$6+34-1),INDEX(Auszahlung!$AZ$8:$AZ$41,$B57-Eingaben!$C$6+1),0)</f>
        <v>0</v>
      </c>
      <c r="G57" s="47" t="n">
        <f aca="false">1/(1+Eingaben!$C$37)^52</f>
        <v>0.357101001659902</v>
      </c>
      <c r="H57" s="45" t="n">
        <f aca="false">$G57*(D57+$C57)</f>
        <v>0</v>
      </c>
      <c r="I57" s="45" t="n">
        <f aca="false">$G57*(E57+$C57)</f>
        <v>0</v>
      </c>
      <c r="J57" s="45" t="n">
        <f aca="false">$G57*(F57+$C57)</f>
        <v>0</v>
      </c>
      <c r="K57" s="45" t="n">
        <f aca="false">$G57*$C57</f>
        <v>0</v>
      </c>
    </row>
    <row r="58" customFormat="false" ht="15" hidden="false" customHeight="false" outlineLevel="0" collapsed="false">
      <c r="A58" s="46" t="n">
        <f aca="false">2026+53</f>
        <v>2079</v>
      </c>
      <c r="B58" s="46" t="n">
        <f aca="false">Eingaben!$C$5+53</f>
        <v>93</v>
      </c>
      <c r="C58" s="45" t="n">
        <f aca="false">IF(53&lt;50,INDEX(Ansparphase!$AG$8:$AG$57,53+1),0)</f>
        <v>0</v>
      </c>
      <c r="D58" s="45" t="n">
        <f aca="false">-$C58+IF(AND($B58&gt;=Eingaben!$C$6,$B58&lt;=Eingaben!$C$6+34-1),INDEX(Auszahlung!$AG$8:$AG$41,$B58-Eingaben!$C$6+1),0)</f>
        <v>0</v>
      </c>
      <c r="E58" s="45" t="n">
        <f aca="false">-$C58+IF(AND($B58&gt;=Eingaben!$C$6,$B58&lt;=Eingaben!$C$6+34-1),INDEX(Auszahlung!$AT$8:$AT$41,$B58-Eingaben!$C$6+1),0)</f>
        <v>0</v>
      </c>
      <c r="F58" s="45" t="n">
        <f aca="false">-$C58+IF(AND($B58&gt;=Eingaben!$C$6,$B58&lt;=Eingaben!$C$6+34-1),INDEX(Auszahlung!$AZ$8:$AZ$41,$B58-Eingaben!$C$6+1),0)</f>
        <v>0</v>
      </c>
      <c r="G58" s="47" t="n">
        <f aca="false">1/(1+Eingaben!$C$37)^53</f>
        <v>0.350099021235198</v>
      </c>
      <c r="H58" s="45" t="n">
        <f aca="false">$G58*(D58+$C58)</f>
        <v>0</v>
      </c>
      <c r="I58" s="45" t="n">
        <f aca="false">$G58*(E58+$C58)</f>
        <v>0</v>
      </c>
      <c r="J58" s="45" t="n">
        <f aca="false">$G58*(F58+$C58)</f>
        <v>0</v>
      </c>
      <c r="K58" s="45" t="n">
        <f aca="false">$G58*$C58</f>
        <v>0</v>
      </c>
    </row>
    <row r="59" customFormat="false" ht="15" hidden="false" customHeight="false" outlineLevel="0" collapsed="false">
      <c r="A59" s="46" t="n">
        <f aca="false">2026+54</f>
        <v>2080</v>
      </c>
      <c r="B59" s="46" t="n">
        <f aca="false">Eingaben!$C$5+54</f>
        <v>94</v>
      </c>
      <c r="C59" s="45" t="n">
        <f aca="false">IF(54&lt;50,INDEX(Ansparphase!$AG$8:$AG$57,54+1),0)</f>
        <v>0</v>
      </c>
      <c r="D59" s="45" t="n">
        <f aca="false">-$C59+IF(AND($B59&gt;=Eingaben!$C$6,$B59&lt;=Eingaben!$C$6+34-1),INDEX(Auszahlung!$AG$8:$AG$41,$B59-Eingaben!$C$6+1),0)</f>
        <v>0</v>
      </c>
      <c r="E59" s="45" t="n">
        <f aca="false">-$C59+IF(AND($B59&gt;=Eingaben!$C$6,$B59&lt;=Eingaben!$C$6+34-1),INDEX(Auszahlung!$AT$8:$AT$41,$B59-Eingaben!$C$6+1),0)</f>
        <v>0</v>
      </c>
      <c r="F59" s="45" t="n">
        <f aca="false">-$C59+IF(AND($B59&gt;=Eingaben!$C$6,$B59&lt;=Eingaben!$C$6+34-1),INDEX(Auszahlung!$AZ$8:$AZ$41,$B59-Eingaben!$C$6+1),0)</f>
        <v>0</v>
      </c>
      <c r="G59" s="47" t="n">
        <f aca="false">1/(1+Eingaben!$C$37)^54</f>
        <v>0.343234334544311</v>
      </c>
      <c r="H59" s="45" t="n">
        <f aca="false">$G59*(D59+$C59)</f>
        <v>0</v>
      </c>
      <c r="I59" s="45" t="n">
        <f aca="false">$G59*(E59+$C59)</f>
        <v>0</v>
      </c>
      <c r="J59" s="45" t="n">
        <f aca="false">$G59*(F59+$C59)</f>
        <v>0</v>
      </c>
      <c r="K59" s="45" t="n">
        <f aca="false">$G59*$C59</f>
        <v>0</v>
      </c>
    </row>
    <row r="60" customFormat="false" ht="15" hidden="false" customHeight="false" outlineLevel="0" collapsed="false">
      <c r="A60" s="46" t="n">
        <f aca="false">2026+55</f>
        <v>2081</v>
      </c>
      <c r="B60" s="46" t="n">
        <f aca="false">Eingaben!$C$5+55</f>
        <v>95</v>
      </c>
      <c r="C60" s="45" t="n">
        <f aca="false">IF(55&lt;50,INDEX(Ansparphase!$AG$8:$AG$57,55+1),0)</f>
        <v>0</v>
      </c>
      <c r="D60" s="45" t="n">
        <f aca="false">-$C60+IF(AND($B60&gt;=Eingaben!$C$6,$B60&lt;=Eingaben!$C$6+34-1),INDEX(Auszahlung!$AG$8:$AG$41,$B60-Eingaben!$C$6+1),0)</f>
        <v>0</v>
      </c>
      <c r="E60" s="45" t="n">
        <f aca="false">-$C60+IF(AND($B60&gt;=Eingaben!$C$6,$B60&lt;=Eingaben!$C$6+34-1),INDEX(Auszahlung!$AT$8:$AT$41,$B60-Eingaben!$C$6+1),0)</f>
        <v>0</v>
      </c>
      <c r="F60" s="45" t="n">
        <f aca="false">-$C60+IF(AND($B60&gt;=Eingaben!$C$6,$B60&lt;=Eingaben!$C$6+34-1),INDEX(Auszahlung!$AZ$8:$AZ$41,$B60-Eingaben!$C$6+1),0)</f>
        <v>0</v>
      </c>
      <c r="G60" s="47" t="n">
        <f aca="false">1/(1+Eingaben!$C$37)^55</f>
        <v>0.336504249553246</v>
      </c>
      <c r="H60" s="45" t="n">
        <f aca="false">$G60*(D60+$C60)</f>
        <v>0</v>
      </c>
      <c r="I60" s="45" t="n">
        <f aca="false">$G60*(E60+$C60)</f>
        <v>0</v>
      </c>
      <c r="J60" s="45" t="n">
        <f aca="false">$G60*(F60+$C60)</f>
        <v>0</v>
      </c>
      <c r="K60" s="45" t="n">
        <f aca="false">$G60*$C60</f>
        <v>0</v>
      </c>
    </row>
    <row r="61" customFormat="false" ht="15" hidden="false" customHeight="false" outlineLevel="0" collapsed="false">
      <c r="A61" s="46" t="n">
        <f aca="false">2026+56</f>
        <v>2082</v>
      </c>
      <c r="B61" s="46" t="n">
        <f aca="false">Eingaben!$C$5+56</f>
        <v>96</v>
      </c>
      <c r="C61" s="45" t="n">
        <f aca="false">IF(56&lt;50,INDEX(Ansparphase!$AG$8:$AG$57,56+1),0)</f>
        <v>0</v>
      </c>
      <c r="D61" s="45" t="n">
        <f aca="false">-$C61+IF(AND($B61&gt;=Eingaben!$C$6,$B61&lt;=Eingaben!$C$6+34-1),INDEX(Auszahlung!$AG$8:$AG$41,$B61-Eingaben!$C$6+1),0)</f>
        <v>0</v>
      </c>
      <c r="E61" s="45" t="n">
        <f aca="false">-$C61+IF(AND($B61&gt;=Eingaben!$C$6,$B61&lt;=Eingaben!$C$6+34-1),INDEX(Auszahlung!$AT$8:$AT$41,$B61-Eingaben!$C$6+1),0)</f>
        <v>0</v>
      </c>
      <c r="F61" s="45" t="n">
        <f aca="false">-$C61+IF(AND($B61&gt;=Eingaben!$C$6,$B61&lt;=Eingaben!$C$6+34-1),INDEX(Auszahlung!$AZ$8:$AZ$41,$B61-Eingaben!$C$6+1),0)</f>
        <v>0</v>
      </c>
      <c r="G61" s="47" t="n">
        <f aca="false">1/(1+Eingaben!$C$37)^56</f>
        <v>0.329906127012987</v>
      </c>
      <c r="H61" s="45" t="n">
        <f aca="false">$G61*(D61+$C61)</f>
        <v>0</v>
      </c>
      <c r="I61" s="45" t="n">
        <f aca="false">$G61*(E61+$C61)</f>
        <v>0</v>
      </c>
      <c r="J61" s="45" t="n">
        <f aca="false">$G61*(F61+$C61)</f>
        <v>0</v>
      </c>
      <c r="K61" s="45" t="n">
        <f aca="false">$G61*$C61</f>
        <v>0</v>
      </c>
    </row>
    <row r="62" customFormat="false" ht="15" hidden="false" customHeight="false" outlineLevel="0" collapsed="false">
      <c r="A62" s="46" t="n">
        <f aca="false">2026+57</f>
        <v>2083</v>
      </c>
      <c r="B62" s="46" t="n">
        <f aca="false">Eingaben!$C$5+57</f>
        <v>97</v>
      </c>
      <c r="C62" s="45" t="n">
        <f aca="false">IF(57&lt;50,INDEX(Ansparphase!$AG$8:$AG$57,57+1),0)</f>
        <v>0</v>
      </c>
      <c r="D62" s="45" t="n">
        <f aca="false">-$C62+IF(AND($B62&gt;=Eingaben!$C$6,$B62&lt;=Eingaben!$C$6+34-1),INDEX(Auszahlung!$AG$8:$AG$41,$B62-Eingaben!$C$6+1),0)</f>
        <v>0</v>
      </c>
      <c r="E62" s="45" t="n">
        <f aca="false">-$C62+IF(AND($B62&gt;=Eingaben!$C$6,$B62&lt;=Eingaben!$C$6+34-1),INDEX(Auszahlung!$AT$8:$AT$41,$B62-Eingaben!$C$6+1),0)</f>
        <v>0</v>
      </c>
      <c r="F62" s="45" t="n">
        <f aca="false">-$C62+IF(AND($B62&gt;=Eingaben!$C$6,$B62&lt;=Eingaben!$C$6+34-1),INDEX(Auszahlung!$AZ$8:$AZ$41,$B62-Eingaben!$C$6+1),0)</f>
        <v>0</v>
      </c>
      <c r="G62" s="47" t="n">
        <f aca="false">1/(1+Eingaben!$C$37)^57</f>
        <v>0.323437379424497</v>
      </c>
      <c r="H62" s="45" t="n">
        <f aca="false">$G62*(D62+$C62)</f>
        <v>0</v>
      </c>
      <c r="I62" s="45" t="n">
        <f aca="false">$G62*(E62+$C62)</f>
        <v>0</v>
      </c>
      <c r="J62" s="45" t="n">
        <f aca="false">$G62*(F62+$C62)</f>
        <v>0</v>
      </c>
      <c r="K62" s="45" t="n">
        <f aca="false">$G62*$C62</f>
        <v>0</v>
      </c>
    </row>
    <row r="63" customFormat="false" ht="15" hidden="false" customHeight="false" outlineLevel="0" collapsed="false">
      <c r="A63" s="46" t="n">
        <f aca="false">2026+58</f>
        <v>2084</v>
      </c>
      <c r="B63" s="46" t="n">
        <f aca="false">Eingaben!$C$5+58</f>
        <v>98</v>
      </c>
      <c r="C63" s="45" t="n">
        <f aca="false">IF(58&lt;50,INDEX(Ansparphase!$AG$8:$AG$57,58+1),0)</f>
        <v>0</v>
      </c>
      <c r="D63" s="45" t="n">
        <f aca="false">-$C63+IF(AND($B63&gt;=Eingaben!$C$6,$B63&lt;=Eingaben!$C$6+34-1),INDEX(Auszahlung!$AG$8:$AG$41,$B63-Eingaben!$C$6+1),0)</f>
        <v>0</v>
      </c>
      <c r="E63" s="45" t="n">
        <f aca="false">-$C63+IF(AND($B63&gt;=Eingaben!$C$6,$B63&lt;=Eingaben!$C$6+34-1),INDEX(Auszahlung!$AT$8:$AT$41,$B63-Eingaben!$C$6+1),0)</f>
        <v>0</v>
      </c>
      <c r="F63" s="45" t="n">
        <f aca="false">-$C63+IF(AND($B63&gt;=Eingaben!$C$6,$B63&lt;=Eingaben!$C$6+34-1),INDEX(Auszahlung!$AZ$8:$AZ$41,$B63-Eingaben!$C$6+1),0)</f>
        <v>0</v>
      </c>
      <c r="G63" s="47" t="n">
        <f aca="false">1/(1+Eingaben!$C$37)^58</f>
        <v>0.317095470024016</v>
      </c>
      <c r="H63" s="45" t="n">
        <f aca="false">$G63*(D63+$C63)</f>
        <v>0</v>
      </c>
      <c r="I63" s="45" t="n">
        <f aca="false">$G63*(E63+$C63)</f>
        <v>0</v>
      </c>
      <c r="J63" s="45" t="n">
        <f aca="false">$G63*(F63+$C63)</f>
        <v>0</v>
      </c>
      <c r="K63" s="45" t="n">
        <f aca="false">$G63*$C63</f>
        <v>0</v>
      </c>
    </row>
    <row r="64" customFormat="false" ht="15" hidden="false" customHeight="false" outlineLevel="0" collapsed="false">
      <c r="A64" s="46" t="n">
        <f aca="false">2026+59</f>
        <v>2085</v>
      </c>
      <c r="B64" s="46" t="n">
        <f aca="false">Eingaben!$C$5+59</f>
        <v>99</v>
      </c>
      <c r="C64" s="45" t="n">
        <f aca="false">IF(59&lt;50,INDEX(Ansparphase!$AG$8:$AG$57,59+1),0)</f>
        <v>0</v>
      </c>
      <c r="D64" s="45" t="n">
        <f aca="false">-$C64+IF(AND($B64&gt;=Eingaben!$C$6,$B64&lt;=Eingaben!$C$6+34-1),INDEX(Auszahlung!$AG$8:$AG$41,$B64-Eingaben!$C$6+1),0)</f>
        <v>0</v>
      </c>
      <c r="E64" s="45" t="n">
        <f aca="false">-$C64+IF(AND($B64&gt;=Eingaben!$C$6,$B64&lt;=Eingaben!$C$6+34-1),INDEX(Auszahlung!$AT$8:$AT$41,$B64-Eingaben!$C$6+1),0)</f>
        <v>0</v>
      </c>
      <c r="F64" s="45" t="n">
        <f aca="false">-$C64+IF(AND($B64&gt;=Eingaben!$C$6,$B64&lt;=Eingaben!$C$6+34-1),INDEX(Auszahlung!$AZ$8:$AZ$41,$B64-Eingaben!$C$6+1),0)</f>
        <v>0</v>
      </c>
      <c r="G64" s="47" t="n">
        <f aca="false">1/(1+Eingaben!$C$37)^59</f>
        <v>0.310877911788251</v>
      </c>
      <c r="H64" s="45" t="n">
        <f aca="false">$G64*(D64+$C64)</f>
        <v>0</v>
      </c>
      <c r="I64" s="45" t="n">
        <f aca="false">$G64*(E64+$C64)</f>
        <v>0</v>
      </c>
      <c r="J64" s="45" t="n">
        <f aca="false">$G64*(F64+$C64)</f>
        <v>0</v>
      </c>
      <c r="K64" s="45" t="n">
        <f aca="false">$G64*$C64</f>
        <v>0</v>
      </c>
    </row>
    <row r="65" customFormat="false" ht="15" hidden="false" customHeight="false" outlineLevel="0" collapsed="false">
      <c r="A65" s="46" t="n">
        <f aca="false">2026+60</f>
        <v>2086</v>
      </c>
      <c r="B65" s="46" t="n">
        <f aca="false">Eingaben!$C$5+60</f>
        <v>100</v>
      </c>
      <c r="C65" s="45" t="n">
        <f aca="false">IF(60&lt;50,INDEX(Ansparphase!$AG$8:$AG$57,60+1),0)</f>
        <v>0</v>
      </c>
      <c r="D65" s="45" t="n">
        <f aca="false">-$C65+IF(AND($B65&gt;=Eingaben!$C$6,$B65&lt;=Eingaben!$C$6+34-1),INDEX(Auszahlung!$AG$8:$AG$41,$B65-Eingaben!$C$6+1),0)</f>
        <v>0</v>
      </c>
      <c r="E65" s="45" t="n">
        <f aca="false">-$C65+IF(AND($B65&gt;=Eingaben!$C$6,$B65&lt;=Eingaben!$C$6+34-1),INDEX(Auszahlung!$AT$8:$AT$41,$B65-Eingaben!$C$6+1),0)</f>
        <v>0</v>
      </c>
      <c r="F65" s="45" t="n">
        <f aca="false">-$C65+IF(AND($B65&gt;=Eingaben!$C$6,$B65&lt;=Eingaben!$C$6+34-1),INDEX(Auszahlung!$AZ$8:$AZ$41,$B65-Eingaben!$C$6+1),0)</f>
        <v>0</v>
      </c>
      <c r="G65" s="47" t="n">
        <f aca="false">1/(1+Eingaben!$C$37)^60</f>
        <v>0.30478226645907</v>
      </c>
      <c r="H65" s="45" t="n">
        <f aca="false">$G65*(D65+$C65)</f>
        <v>0</v>
      </c>
      <c r="I65" s="45" t="n">
        <f aca="false">$G65*(E65+$C65)</f>
        <v>0</v>
      </c>
      <c r="J65" s="45" t="n">
        <f aca="false">$G65*(F65+$C65)</f>
        <v>0</v>
      </c>
      <c r="K65" s="45" t="n">
        <f aca="false">$G65*$C65</f>
        <v>0</v>
      </c>
    </row>
    <row r="66" customFormat="false" ht="15" hidden="false" customHeight="false" outlineLevel="0" collapsed="false">
      <c r="A66" s="46" t="n">
        <f aca="false">2026+61</f>
        <v>2087</v>
      </c>
      <c r="B66" s="46" t="n">
        <f aca="false">Eingaben!$C$5+61</f>
        <v>101</v>
      </c>
      <c r="C66" s="45" t="n">
        <f aca="false">IF(61&lt;50,INDEX(Ansparphase!$AG$8:$AG$57,61+1),0)</f>
        <v>0</v>
      </c>
      <c r="D66" s="45" t="n">
        <f aca="false">-$C66+IF(AND($B66&gt;=Eingaben!$C$6,$B66&lt;=Eingaben!$C$6+34-1),INDEX(Auszahlung!$AG$8:$AG$41,$B66-Eingaben!$C$6+1),0)</f>
        <v>0</v>
      </c>
      <c r="E66" s="45" t="n">
        <f aca="false">-$C66+IF(AND($B66&gt;=Eingaben!$C$6,$B66&lt;=Eingaben!$C$6+34-1),INDEX(Auszahlung!$AT$8:$AT$41,$B66-Eingaben!$C$6+1),0)</f>
        <v>0</v>
      </c>
      <c r="F66" s="45" t="n">
        <f aca="false">-$C66+IF(AND($B66&gt;=Eingaben!$C$6,$B66&lt;=Eingaben!$C$6+34-1),INDEX(Auszahlung!$AZ$8:$AZ$41,$B66-Eingaben!$C$6+1),0)</f>
        <v>0</v>
      </c>
      <c r="G66" s="47" t="n">
        <f aca="false">1/(1+Eingaben!$C$37)^61</f>
        <v>0.298806143587323</v>
      </c>
      <c r="H66" s="45" t="n">
        <f aca="false">$G66*(D66+$C66)</f>
        <v>0</v>
      </c>
      <c r="I66" s="45" t="n">
        <f aca="false">$G66*(E66+$C66)</f>
        <v>0</v>
      </c>
      <c r="J66" s="45" t="n">
        <f aca="false">$G66*(F66+$C66)</f>
        <v>0</v>
      </c>
      <c r="K66" s="45" t="n">
        <f aca="false">$G66*$C66</f>
        <v>0</v>
      </c>
    </row>
    <row r="67" customFormat="false" ht="15" hidden="false" customHeight="false" outlineLevel="0" collapsed="false">
      <c r="A67" s="46" t="n">
        <f aca="false">2026+62</f>
        <v>2088</v>
      </c>
      <c r="B67" s="46" t="n">
        <f aca="false">Eingaben!$C$5+62</f>
        <v>102</v>
      </c>
      <c r="C67" s="45" t="n">
        <f aca="false">IF(62&lt;50,INDEX(Ansparphase!$AG$8:$AG$57,62+1),0)</f>
        <v>0</v>
      </c>
      <c r="D67" s="45" t="n">
        <f aca="false">-$C67+IF(AND($B67&gt;=Eingaben!$C$6,$B67&lt;=Eingaben!$C$6+34-1),INDEX(Auszahlung!$AG$8:$AG$41,$B67-Eingaben!$C$6+1),0)</f>
        <v>0</v>
      </c>
      <c r="E67" s="45" t="n">
        <f aca="false">-$C67+IF(AND($B67&gt;=Eingaben!$C$6,$B67&lt;=Eingaben!$C$6+34-1),INDEX(Auszahlung!$AT$8:$AT$41,$B67-Eingaben!$C$6+1),0)</f>
        <v>0</v>
      </c>
      <c r="F67" s="45" t="n">
        <f aca="false">-$C67+IF(AND($B67&gt;=Eingaben!$C$6,$B67&lt;=Eingaben!$C$6+34-1),INDEX(Auszahlung!$AZ$8:$AZ$41,$B67-Eingaben!$C$6+1),0)</f>
        <v>0</v>
      </c>
      <c r="G67" s="47" t="n">
        <f aca="false">1/(1+Eingaben!$C$37)^62</f>
        <v>0.292947199595415</v>
      </c>
      <c r="H67" s="45" t="n">
        <f aca="false">$G67*(D67+$C67)</f>
        <v>0</v>
      </c>
      <c r="I67" s="45" t="n">
        <f aca="false">$G67*(E67+$C67)</f>
        <v>0</v>
      </c>
      <c r="J67" s="45" t="n">
        <f aca="false">$G67*(F67+$C67)</f>
        <v>0</v>
      </c>
      <c r="K67" s="45" t="n">
        <f aca="false">$G67*$C67</f>
        <v>0</v>
      </c>
    </row>
    <row r="68" customFormat="false" ht="15" hidden="false" customHeight="false" outlineLevel="0" collapsed="false">
      <c r="A68" s="46" t="n">
        <f aca="false">2026+63</f>
        <v>2089</v>
      </c>
      <c r="B68" s="46" t="n">
        <f aca="false">Eingaben!$C$5+63</f>
        <v>103</v>
      </c>
      <c r="C68" s="45" t="n">
        <f aca="false">IF(63&lt;50,INDEX(Ansparphase!$AG$8:$AG$57,63+1),0)</f>
        <v>0</v>
      </c>
      <c r="D68" s="45" t="n">
        <f aca="false">-$C68+IF(AND($B68&gt;=Eingaben!$C$6,$B68&lt;=Eingaben!$C$6+34-1),INDEX(Auszahlung!$AG$8:$AG$41,$B68-Eingaben!$C$6+1),0)</f>
        <v>0</v>
      </c>
      <c r="E68" s="45" t="n">
        <f aca="false">-$C68+IF(AND($B68&gt;=Eingaben!$C$6,$B68&lt;=Eingaben!$C$6+34-1),INDEX(Auszahlung!$AT$8:$AT$41,$B68-Eingaben!$C$6+1),0)</f>
        <v>0</v>
      </c>
      <c r="F68" s="45" t="n">
        <f aca="false">-$C68+IF(AND($B68&gt;=Eingaben!$C$6,$B68&lt;=Eingaben!$C$6+34-1),INDEX(Auszahlung!$AZ$8:$AZ$41,$B68-Eingaben!$C$6+1),0)</f>
        <v>0</v>
      </c>
      <c r="G68" s="47" t="n">
        <f aca="false">1/(1+Eingaben!$C$37)^63</f>
        <v>0.28720313685825</v>
      </c>
      <c r="H68" s="45" t="n">
        <f aca="false">$G68*(D68+$C68)</f>
        <v>0</v>
      </c>
      <c r="I68" s="45" t="n">
        <f aca="false">$G68*(E68+$C68)</f>
        <v>0</v>
      </c>
      <c r="J68" s="45" t="n">
        <f aca="false">$G68*(F68+$C68)</f>
        <v>0</v>
      </c>
      <c r="K68" s="45" t="n">
        <f aca="false">$G68*$C68</f>
        <v>0</v>
      </c>
    </row>
    <row r="69" customFormat="false" ht="15" hidden="false" customHeight="false" outlineLevel="0" collapsed="false">
      <c r="A69" s="46" t="n">
        <f aca="false">2026+64</f>
        <v>2090</v>
      </c>
      <c r="B69" s="46" t="n">
        <f aca="false">Eingaben!$C$5+64</f>
        <v>104</v>
      </c>
      <c r="C69" s="45" t="n">
        <f aca="false">IF(64&lt;50,INDEX(Ansparphase!$AG$8:$AG$57,64+1),0)</f>
        <v>0</v>
      </c>
      <c r="D69" s="45" t="n">
        <f aca="false">-$C69+IF(AND($B69&gt;=Eingaben!$C$6,$B69&lt;=Eingaben!$C$6+34-1),INDEX(Auszahlung!$AG$8:$AG$41,$B69-Eingaben!$C$6+1),0)</f>
        <v>0</v>
      </c>
      <c r="E69" s="45" t="n">
        <f aca="false">-$C69+IF(AND($B69&gt;=Eingaben!$C$6,$B69&lt;=Eingaben!$C$6+34-1),INDEX(Auszahlung!$AT$8:$AT$41,$B69-Eingaben!$C$6+1),0)</f>
        <v>0</v>
      </c>
      <c r="F69" s="45" t="n">
        <f aca="false">-$C69+IF(AND($B69&gt;=Eingaben!$C$6,$B69&lt;=Eingaben!$C$6+34-1),INDEX(Auszahlung!$AZ$8:$AZ$41,$B69-Eingaben!$C$6+1),0)</f>
        <v>0</v>
      </c>
      <c r="G69" s="47" t="n">
        <f aca="false">1/(1+Eingaben!$C$37)^64</f>
        <v>0.281571702802206</v>
      </c>
      <c r="H69" s="45" t="n">
        <f aca="false">$G69*(D69+$C69)</f>
        <v>0</v>
      </c>
      <c r="I69" s="45" t="n">
        <f aca="false">$G69*(E69+$C69)</f>
        <v>0</v>
      </c>
      <c r="J69" s="45" t="n">
        <f aca="false">$G69*(F69+$C69)</f>
        <v>0</v>
      </c>
      <c r="K69" s="45" t="n">
        <f aca="false">$G69*$C69</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5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8"/>
    <col collapsed="false" customWidth="true" hidden="false" outlineLevel="0" max="4" min="2" style="0" width="20"/>
    <col collapsed="false" customWidth="true" hidden="false" outlineLevel="0" max="5" min="5" style="0" width="86"/>
  </cols>
  <sheetData>
    <row r="1" customFormat="false" ht="17.35" hidden="false" customHeight="false" outlineLevel="0" collapsed="false">
      <c r="A1" s="1" t="s">
        <v>606</v>
      </c>
    </row>
    <row r="2" customFormat="false" ht="15" hidden="false" customHeight="false" outlineLevel="0" collapsed="false">
      <c r="A2" s="10" t="s">
        <v>607</v>
      </c>
    </row>
    <row r="4" customFormat="false" ht="15" hidden="false" customHeight="false" outlineLevel="0" collapsed="false">
      <c r="A4" s="29"/>
      <c r="B4" s="29" t="s">
        <v>608</v>
      </c>
      <c r="C4" s="29" t="s">
        <v>609</v>
      </c>
      <c r="D4" s="29" t="s">
        <v>610</v>
      </c>
      <c r="E4" s="29" t="s">
        <v>611</v>
      </c>
    </row>
    <row r="5" customFormat="false" ht="15" hidden="false" customHeight="false" outlineLevel="0" collapsed="false">
      <c r="A5" s="3" t="s">
        <v>612</v>
      </c>
      <c r="B5" s="27" t="n">
        <f aca="false">SUM(Ansparphase!$AG$8:$AG$57)</f>
        <v>59785.0619540256</v>
      </c>
      <c r="C5" s="27" t="n">
        <f aca="false">B5</f>
        <v>59785.0619540256</v>
      </c>
      <c r="D5" s="27" t="n">
        <f aca="false">B5</f>
        <v>59785.0619540256</v>
      </c>
      <c r="E5" s="48" t="s">
        <v>613</v>
      </c>
    </row>
    <row r="6" customFormat="false" ht="15" hidden="false" customHeight="false" outlineLevel="0" collapsed="false">
      <c r="A6" s="3" t="s">
        <v>614</v>
      </c>
      <c r="B6" s="27" t="n">
        <f aca="false">SUM(Ansparphase!$N$8:$N$57)</f>
        <v>13675.1735594913</v>
      </c>
      <c r="C6" s="27" t="n">
        <f aca="false">SUM(Ansparphase!$AK$8:$AK$57)</f>
        <v>12420</v>
      </c>
      <c r="D6" s="27" t="n">
        <f aca="false">0</f>
        <v>0</v>
      </c>
      <c r="E6" s="48" t="s">
        <v>615</v>
      </c>
    </row>
    <row r="7" customFormat="false" ht="15" hidden="false" customHeight="false" outlineLevel="0" collapsed="false">
      <c r="A7" s="3" t="s">
        <v>616</v>
      </c>
      <c r="B7" s="27" t="n">
        <f aca="false">(Ansparphase!$AW$57+Ansparphase!$AX$57)</f>
        <v>327329.147588884</v>
      </c>
      <c r="C7" s="27" t="n">
        <f aca="false">Ansparphase!$AY$57+Ansparphase!$AZ$57+Ansparphase!$BA$57</f>
        <v>218402.812621377</v>
      </c>
      <c r="D7" s="27" t="n">
        <f aca="false">Ansparphase!$BE$57</f>
        <v>167462.743358363</v>
      </c>
      <c r="E7" s="48" t="s">
        <v>617</v>
      </c>
    </row>
    <row r="8" customFormat="false" ht="15" hidden="false" customHeight="false" outlineLevel="0" collapsed="false">
      <c r="A8" s="3" t="s">
        <v>618</v>
      </c>
      <c r="B8" s="27" t="n">
        <f aca="false">SUM(Auszahlung!$M$8:$M$41)</f>
        <v>327329.147588884</v>
      </c>
      <c r="C8" s="27" t="n">
        <f aca="false">SUM(Auszahlung!$AI$8:$AI$41)+SUM(Auszahlung!$AK$8:$AK$41)+SUM(Auszahlung!$AM$8:$AM$41)</f>
        <v>344031.148074891</v>
      </c>
      <c r="D8" s="27" t="n">
        <f aca="false">SUM(Auszahlung!$AW$8:$AW$41)</f>
        <v>267636.073167718</v>
      </c>
      <c r="E8" s="48" t="s">
        <v>619</v>
      </c>
    </row>
    <row r="9" customFormat="false" ht="32.8" hidden="false" customHeight="false" outlineLevel="0" collapsed="false">
      <c r="A9" s="3" t="s">
        <v>620</v>
      </c>
      <c r="B9" s="27" t="n">
        <f aca="false">SUM(Auszahlung!$AF$8:$AF$41)</f>
        <v>113706.922796863</v>
      </c>
      <c r="C9" s="27" t="n">
        <f aca="false">SUM(Auszahlung!$AS$8:$AS$41)-SUM(Auszahlung!$J$8:$J$41)+SUM(Auszahlung!$AN$8:$AN$41)</f>
        <v>73684.6932846283</v>
      </c>
      <c r="D9" s="27" t="n">
        <f aca="false">SUM(Auszahlung!$AY$8:$AY$41)</f>
        <v>27337.1466927028</v>
      </c>
      <c r="E9" s="48" t="s">
        <v>621</v>
      </c>
    </row>
    <row r="10" customFormat="false" ht="22.35" hidden="false" customHeight="false" outlineLevel="0" collapsed="false">
      <c r="A10" s="3" t="s">
        <v>622</v>
      </c>
      <c r="B10" s="27" t="n">
        <f aca="false">SUM(Auszahlung!$T$8:$T$41)</f>
        <v>60004.3410126064</v>
      </c>
      <c r="C10" s="27" t="n">
        <f aca="false">0</f>
        <v>0</v>
      </c>
      <c r="D10" s="27" t="n">
        <f aca="false">0</f>
        <v>0</v>
      </c>
      <c r="E10" s="48" t="s">
        <v>623</v>
      </c>
    </row>
    <row r="11" customFormat="false" ht="15" hidden="false" customHeight="false" outlineLevel="0" collapsed="false">
      <c r="A11" s="3" t="s">
        <v>624</v>
      </c>
      <c r="B11" s="27" t="n">
        <f aca="false">SUM(Auszahlung!$U$8:$U$41)</f>
        <v>37935.597367993</v>
      </c>
      <c r="C11" s="27" t="n">
        <f aca="false">0</f>
        <v>0</v>
      </c>
      <c r="D11" s="27" t="n">
        <f aca="false">0</f>
        <v>0</v>
      </c>
      <c r="E11" s="48" t="s">
        <v>625</v>
      </c>
    </row>
    <row r="12" customFormat="false" ht="15" hidden="false" customHeight="false" outlineLevel="0" collapsed="false">
      <c r="A12" s="3" t="s">
        <v>626</v>
      </c>
      <c r="B12" s="27" t="n">
        <f aca="false">SUM(Auszahlung!$AG$8:$AG$41)</f>
        <v>120367.332686369</v>
      </c>
      <c r="C12" s="27" t="n">
        <f aca="false">SUM(Auszahlung!$AT$8:$AT$41)</f>
        <v>270346.454790263</v>
      </c>
      <c r="D12" s="27" t="n">
        <f aca="false">SUM(Auszahlung!$AZ$8:$AZ$41)</f>
        <v>240298.926475015</v>
      </c>
      <c r="E12" s="48" t="s">
        <v>627</v>
      </c>
    </row>
    <row r="13" customFormat="false" ht="15" hidden="false" customHeight="false" outlineLevel="0" collapsed="false">
      <c r="A13" s="3" t="s">
        <v>628</v>
      </c>
      <c r="B13" s="27" t="n">
        <f aca="false">SUMPRODUCT(Auszahlung!$AG$8:$AG$41,Auszahlung!$BA$8:$BA$41)</f>
        <v>75230.7505277908</v>
      </c>
      <c r="C13" s="27" t="n">
        <f aca="false">SUMPRODUCT(Auszahlung!$AT$8:$AT$41,Auszahlung!$BA$8:$BA$41)</f>
        <v>135907.77858974</v>
      </c>
      <c r="D13" s="27" t="n">
        <f aca="false">SUMPRODUCT(Auszahlung!$AZ$8:$AZ$41,Auszahlung!$BA$8:$BA$41)</f>
        <v>121233.966623963</v>
      </c>
      <c r="E13" s="48" t="s">
        <v>629</v>
      </c>
    </row>
    <row r="14" customFormat="false" ht="15" hidden="false" customHeight="false" outlineLevel="0" collapsed="false">
      <c r="A14" s="3" t="s">
        <v>630</v>
      </c>
      <c r="B14" s="27" t="n">
        <f aca="false">SUM(Cashflow!$K$5:$K$69)</f>
        <v>47494.1216479794</v>
      </c>
      <c r="C14" s="27" t="n">
        <f aca="false">B14</f>
        <v>47494.1216479794</v>
      </c>
      <c r="D14" s="27" t="n">
        <f aca="false">B14</f>
        <v>47494.1216479794</v>
      </c>
      <c r="E14" s="48" t="s">
        <v>631</v>
      </c>
    </row>
    <row r="15" customFormat="false" ht="15" hidden="false" customHeight="false" outlineLevel="0" collapsed="false">
      <c r="A15" s="19" t="s">
        <v>632</v>
      </c>
      <c r="B15" s="49" t="n">
        <f aca="false">B13-B14</f>
        <v>27736.6288798114</v>
      </c>
      <c r="C15" s="49" t="n">
        <f aca="false">C13-C14</f>
        <v>88413.6569417605</v>
      </c>
      <c r="D15" s="49" t="n">
        <f aca="false">D13-D14</f>
        <v>73739.8449759836</v>
      </c>
      <c r="E15" s="48" t="s">
        <v>633</v>
      </c>
    </row>
    <row r="16" customFormat="false" ht="15" hidden="false" customHeight="false" outlineLevel="0" collapsed="false">
      <c r="A16" s="3" t="s">
        <v>634</v>
      </c>
      <c r="B16" s="50" t="n">
        <f aca="false">IF(B14=0,0,B13/B14)</f>
        <v>1.58400130200095</v>
      </c>
      <c r="C16" s="50" t="n">
        <f aca="false">IF(C14=0,0,C13/C14)</f>
        <v>2.86157052439187</v>
      </c>
      <c r="D16" s="50" t="n">
        <f aca="false">IF(D14=0,0,D13/D14)</f>
        <v>2.55260993186766</v>
      </c>
      <c r="E16" s="48" t="s">
        <v>635</v>
      </c>
    </row>
    <row r="17" customFormat="false" ht="15" hidden="false" customHeight="false" outlineLevel="0" collapsed="false">
      <c r="A17" s="3" t="s">
        <v>636</v>
      </c>
      <c r="B17" s="51" t="n">
        <f aca="false">IFERROR(IRR(Cashflow!$D$5:$D$69,0.05),"n/a")</f>
        <v>0.0537225642881969</v>
      </c>
      <c r="C17" s="51" t="n">
        <f aca="false">IFERROR(IRR(Cashflow!$E$5:$E$69,0.05),"n/a")</f>
        <v>0.0661449893225471</v>
      </c>
      <c r="D17" s="51" t="n">
        <f aca="false">IFERROR(IRR(Cashflow!$F$5:$F$69,0.05),"n/a")</f>
        <v>0.061411774115975</v>
      </c>
      <c r="E17" s="48" t="s">
        <v>637</v>
      </c>
    </row>
    <row r="18" customFormat="false" ht="15" hidden="false" customHeight="false" outlineLevel="0" collapsed="false">
      <c r="A18" s="3" t="s">
        <v>638</v>
      </c>
      <c r="B18" s="27" t="n">
        <f aca="false">B15-$D$15</f>
        <v>-46003.2160961722</v>
      </c>
      <c r="C18" s="27" t="n">
        <f aca="false">C15-$D$15</f>
        <v>14673.8119657768</v>
      </c>
      <c r="D18" s="27" t="n">
        <f aca="false">0</f>
        <v>0</v>
      </c>
      <c r="E18" s="48" t="s">
        <v>639</v>
      </c>
    </row>
    <row r="19" customFormat="false" ht="15" hidden="false" customHeight="false" outlineLevel="0" collapsed="false">
      <c r="A19" s="3" t="s">
        <v>640</v>
      </c>
      <c r="B19" s="51" t="n">
        <f aca="false">IF($D$15=0,0,B15/$D$15-1)</f>
        <v>-0.623858323965219</v>
      </c>
      <c r="C19" s="51" t="n">
        <f aca="false">IF($D$15=0,0,C15/$D$15-1)</f>
        <v>0.198994342482764</v>
      </c>
      <c r="D19" s="51" t="n">
        <f aca="false">0</f>
        <v>0</v>
      </c>
      <c r="E19" s="48"/>
    </row>
    <row r="21" customFormat="false" ht="15" hidden="false" customHeight="false" outlineLevel="0" collapsed="false">
      <c r="A21" s="5" t="s">
        <v>641</v>
      </c>
    </row>
    <row r="22" customFormat="false" ht="15" hidden="false" customHeight="false" outlineLevel="0" collapsed="false">
      <c r="A22" s="3" t="s">
        <v>642</v>
      </c>
      <c r="B22" s="51" t="n">
        <f aca="false">IF(Ansparphase!$L$8=0,0,Ansparphase!$AF$8/Ansparphase!$L$8)</f>
        <v>0.3436777732386</v>
      </c>
      <c r="E22" s="48" t="s">
        <v>643</v>
      </c>
    </row>
    <row r="23" customFormat="false" ht="15" hidden="false" customHeight="false" outlineLevel="0" collapsed="false">
      <c r="A23" s="3" t="s">
        <v>644</v>
      </c>
      <c r="B23" s="51" t="n">
        <f aca="false">IF(Ansparphase!$K$8=0,0,1-Ansparphase!$AG$8/Ansparphase!$K$8)</f>
        <v>0.4496777732386</v>
      </c>
      <c r="E23" s="48" t="s">
        <v>645</v>
      </c>
    </row>
    <row r="24" customFormat="false" ht="15" hidden="false" customHeight="false" outlineLevel="0" collapsed="false">
      <c r="A24" s="3" t="s">
        <v>646</v>
      </c>
      <c r="B24" s="51" t="n">
        <f aca="false">IF(B8=0,0,(B9+B10)/B8)</f>
        <v>0.530692928170409</v>
      </c>
      <c r="E24" s="48" t="s">
        <v>647</v>
      </c>
    </row>
    <row r="25" customFormat="false" ht="15" hidden="false" customHeight="false" outlineLevel="0" collapsed="false">
      <c r="A25" s="3" t="s">
        <v>648</v>
      </c>
      <c r="B25" s="51" t="n">
        <f aca="false">IF(C8=0,0,(C9+C10)/C8)</f>
        <v>0.214180296455564</v>
      </c>
      <c r="E25" s="48"/>
    </row>
    <row r="26" customFormat="false" ht="15" hidden="false" customHeight="false" outlineLevel="0" collapsed="false">
      <c r="A26" s="3" t="s">
        <v>649</v>
      </c>
      <c r="B26" s="51" t="n">
        <f aca="false">IF(D8=0,0,(D9+D10)/D8)</f>
        <v>0.102142982330979</v>
      </c>
      <c r="E26" s="48" t="s">
        <v>650</v>
      </c>
    </row>
    <row r="27" customFormat="false" ht="32.8" hidden="false" customHeight="false" outlineLevel="0" collapsed="false">
      <c r="A27" s="3" t="s">
        <v>651</v>
      </c>
      <c r="B27" s="27" t="n">
        <f aca="false">Ansparphase!$U$8</f>
        <v>381.6</v>
      </c>
      <c r="E27" s="48" t="s">
        <v>652</v>
      </c>
    </row>
    <row r="28" customFormat="false" ht="22.35" hidden="false" customHeight="false" outlineLevel="0" collapsed="false">
      <c r="A28" s="3" t="s">
        <v>653</v>
      </c>
      <c r="B28" s="27" t="n">
        <f aca="false">Ansparphase!$T$8</f>
        <v>381.6</v>
      </c>
      <c r="E28" s="48" t="s">
        <v>654</v>
      </c>
    </row>
    <row r="29" customFormat="false" ht="32.8" hidden="false" customHeight="false" outlineLevel="0" collapsed="false">
      <c r="A29" s="3" t="s">
        <v>655</v>
      </c>
      <c r="B29" s="51" t="n">
        <f aca="false">IF(Ansparphase!$O$8=0,0,Ansparphase!$Q$8/Ansparphase!$O$8)</f>
        <v>0</v>
      </c>
      <c r="E29" s="48" t="s">
        <v>656</v>
      </c>
    </row>
    <row r="30" customFormat="false" ht="22.35" hidden="false" customHeight="false" outlineLevel="0" collapsed="false">
      <c r="A30" s="3" t="s">
        <v>657</v>
      </c>
      <c r="B30" s="51" t="n">
        <f aca="false">IF(Ansparphase!$I$8=0,0,Ansparphase!$K$8/(Parameter!$C$43*Ansparphase!$I$8))</f>
        <v>0.887573964497041</v>
      </c>
      <c r="E30" s="48" t="s">
        <v>658</v>
      </c>
    </row>
    <row r="31" customFormat="false" ht="22.35" hidden="false" customHeight="false" outlineLevel="0" collapsed="false">
      <c r="A31" s="3" t="s">
        <v>659</v>
      </c>
      <c r="B31" s="52" t="n">
        <f aca="false">Auszahlung!$O$8</f>
        <v>2727.74289657404</v>
      </c>
      <c r="E31" s="48" t="s">
        <v>660</v>
      </c>
    </row>
    <row r="32" customFormat="false" ht="15" hidden="false" customHeight="false" outlineLevel="0" collapsed="false">
      <c r="A32" s="3" t="s">
        <v>661</v>
      </c>
      <c r="B32" s="52" t="n">
        <f aca="false">Parameter!$C$7*Auszahlung!$E$8</f>
        <v>385.177453618768</v>
      </c>
      <c r="E32" s="48" t="s">
        <v>662</v>
      </c>
    </row>
    <row r="33" customFormat="false" ht="43.25" hidden="false" customHeight="false" outlineLevel="0" collapsed="false">
      <c r="A33" s="3" t="s">
        <v>663</v>
      </c>
      <c r="B33" s="50" t="n">
        <f aca="false">IF(B32=0,0,B31/B32)</f>
        <v>7.08178236017376</v>
      </c>
      <c r="E33" s="48" t="s">
        <v>664</v>
      </c>
    </row>
    <row r="34" customFormat="false" ht="22.35" hidden="false" customHeight="false" outlineLevel="0" collapsed="false">
      <c r="A34" s="3" t="s">
        <v>665</v>
      </c>
      <c r="B34" s="27" t="n">
        <f aca="false">120*B32</f>
        <v>46221.2944342521</v>
      </c>
      <c r="E34" s="48" t="s">
        <v>666</v>
      </c>
    </row>
    <row r="35" customFormat="false" ht="32.8" hidden="false" customHeight="false" outlineLevel="0" collapsed="false">
      <c r="A35" s="3" t="s">
        <v>667</v>
      </c>
      <c r="B35" s="27" t="n">
        <f aca="false">IF(Eingaben!$C$29=0,0,B32/Eingaben!$C$29*10000)</f>
        <v>148145.174468757</v>
      </c>
      <c r="E35" s="48" t="s">
        <v>668</v>
      </c>
    </row>
    <row r="36" customFormat="false" ht="22.35" hidden="false" customHeight="false" outlineLevel="0" collapsed="false">
      <c r="A36" s="3" t="s">
        <v>669</v>
      </c>
      <c r="B36" s="27" t="n">
        <f aca="false">SUM(Auszahlung!$BB$8:$BB$41)</f>
        <v>0</v>
      </c>
      <c r="E36" s="48" t="s">
        <v>670</v>
      </c>
    </row>
    <row r="38" customFormat="false" ht="15" hidden="false" customHeight="false" outlineLevel="0" collapsed="false">
      <c r="A38" s="53" t="s">
        <v>671</v>
      </c>
    </row>
    <row r="40" customFormat="false" ht="15" hidden="false" customHeight="false" outlineLevel="0" collapsed="false">
      <c r="A40" s="5" t="s">
        <v>672</v>
      </c>
      <c r="B40" s="54" t="s">
        <v>608</v>
      </c>
      <c r="C40" s="54" t="s">
        <v>609</v>
      </c>
      <c r="D40" s="54" t="s">
        <v>610</v>
      </c>
    </row>
    <row r="41" customFormat="false" ht="22.35" hidden="false" customHeight="false" outlineLevel="0" collapsed="false">
      <c r="A41" s="3" t="s">
        <v>673</v>
      </c>
      <c r="B41" s="27" t="n">
        <f aca="false">SUMPRODUCT(Auszahlung!$AG$8:$AG$41,Auszahlung!$BC$8:$BC$41)</f>
        <v>139227.340227708</v>
      </c>
      <c r="C41" s="27" t="n">
        <f aca="false">SUMPRODUCT(Auszahlung!$AT$8:$AT$41,Auszahlung!$BC$8:$BC$41)</f>
        <v>182055.682438158</v>
      </c>
      <c r="D41" s="27" t="n">
        <f aca="false">SUMPRODUCT(Auszahlung!$AZ$8:$AZ$41,Auszahlung!$BC$8:$BC$41)</f>
        <v>163346.108546751</v>
      </c>
      <c r="E41" s="48" t="s">
        <v>674</v>
      </c>
    </row>
    <row r="42" customFormat="false" ht="22.35" hidden="false" customHeight="false" outlineLevel="0" collapsed="false">
      <c r="A42" s="3" t="s">
        <v>675</v>
      </c>
      <c r="B42" s="52" t="n">
        <f aca="false">(SUMPRODUCT(Auszahlung!$M$8:$M$41,Auszahlung!$BC$8:$BC$41))*(Parameter!$C$68/(1-(1+Parameter!$C$68)^(-Parameter!$C$64)))/12</f>
        <v>2358.31541146871</v>
      </c>
      <c r="C42" s="52" t="n">
        <f aca="false">(SUMPRODUCT(Auszahlung!$AI$8:$AI$41,Auszahlung!$BC$8:$BC$41)+SUMPRODUCT(Auszahlung!$AK$8:$AK$41,Auszahlung!$BC$8:$BC$41)+SUMPRODUCT(Auszahlung!$AM$8:$AM$41,Auszahlung!$BC$8:$BC$41))*(Parameter!$C$68/(1-(1+Parameter!$C$68)^(-Parameter!$C$64)))/12</f>
        <v>1669.80184779084</v>
      </c>
      <c r="D42" s="52" t="n">
        <f aca="false">(SUMPRODUCT(Auszahlung!$AW$8:$AW$41,Auszahlung!$BC$8:$BC$41))*(Parameter!$C$68/(1-(1+Parameter!$C$68)^(-Parameter!$C$64)))/12</f>
        <v>1303.08233957952</v>
      </c>
      <c r="E42" s="48" t="s">
        <v>676</v>
      </c>
    </row>
    <row r="43" customFormat="false" ht="22.35" hidden="false" customHeight="false" outlineLevel="0" collapsed="false">
      <c r="A43" s="3" t="s">
        <v>677</v>
      </c>
      <c r="B43" s="52" t="n">
        <f aca="false">(-SUMPRODUCT(Auszahlung!$AF$8:$AF$41,Auszahlung!$BC$8:$BC$41))*(Parameter!$C$68/(1-(1+Parameter!$C$68)^(-Parameter!$C$64)))/12</f>
        <v>-863.516030070779</v>
      </c>
      <c r="C43" s="52" t="n">
        <f aca="false">(-(SUMPRODUCT(Auszahlung!$AS$8:$AS$41,Auszahlung!$BC$8:$BC$41)-SUMPRODUCT(Auszahlung!$J$8:$J$41,Auszahlung!$BC$8:$BC$41)+SUMPRODUCT(Auszahlung!$AN$8:$AN$41,Auszahlung!$BC$8:$BC$41)))*(Parameter!$C$68/(1-(1+Parameter!$C$68)^(-Parameter!$C$64)))/12</f>
        <v>-358.141322591889</v>
      </c>
      <c r="D43" s="52" t="n">
        <f aca="false">(-SUMPRODUCT(Auszahlung!$AY$8:$AY$41,Auszahlung!$BC$8:$BC$41))*(Parameter!$C$68/(1-(1+Parameter!$C$68)^(-Parameter!$C$64)))/12</f>
        <v>-126.219087324722</v>
      </c>
      <c r="E43" s="48" t="s">
        <v>678</v>
      </c>
    </row>
    <row r="44" customFormat="false" ht="15" hidden="false" customHeight="false" outlineLevel="0" collapsed="false">
      <c r="A44" s="3" t="s">
        <v>679</v>
      </c>
      <c r="B44" s="52" t="n">
        <f aca="false">(-SUMPRODUCT(Auszahlung!$T$8:$T$41,Auszahlung!$BC$8:$BC$41))*(Parameter!$C$68/(1-(1+Parameter!$C$68)^(-Parameter!$C$64)))/12</f>
        <v>-343.761634861357</v>
      </c>
      <c r="C44" s="52" t="n">
        <f aca="false">0</f>
        <v>0</v>
      </c>
      <c r="D44" s="52" t="n">
        <f aca="false">0</f>
        <v>0</v>
      </c>
      <c r="E44" s="48" t="s">
        <v>680</v>
      </c>
    </row>
    <row r="45" customFormat="false" ht="15" hidden="false" customHeight="false" outlineLevel="0" collapsed="false">
      <c r="A45" s="3" t="s">
        <v>681</v>
      </c>
      <c r="B45" s="52" t="n">
        <f aca="false">(-(SUMPRODUCT(Auszahlung!$U$8:$U$41,Auszahlung!$BC$8:$BC$41)-SUMPRODUCT(Auszahlung!$W$8:$W$41,Auszahlung!$BC$8:$BC$41)))*(Parameter!$C$68/(1-(1+Parameter!$C$68)^(-Parameter!$C$64)))/12</f>
        <v>-147.943507678293</v>
      </c>
      <c r="C45" s="52" t="n">
        <f aca="false">0</f>
        <v>0</v>
      </c>
      <c r="D45" s="52" t="n">
        <f aca="false">0</f>
        <v>0</v>
      </c>
      <c r="E45" s="48" t="s">
        <v>682</v>
      </c>
    </row>
    <row r="46" customFormat="false" ht="15" hidden="false" customHeight="false" outlineLevel="0" collapsed="false">
      <c r="A46" s="19" t="s">
        <v>683</v>
      </c>
      <c r="B46" s="55" t="n">
        <f aca="false">(SUMPRODUCT(Auszahlung!$AG$8:$AG$41,Auszahlung!$BC$8:$BC$41))*(Parameter!$C$68/(1-(1+Parameter!$C$68)^(-Parameter!$C$64)))/12</f>
        <v>1003.09423885828</v>
      </c>
      <c r="C46" s="55" t="n">
        <f aca="false">(SUMPRODUCT(Auszahlung!$AT$8:$AT$41,Auszahlung!$BC$8:$BC$41))*(Parameter!$C$68/(1-(1+Parameter!$C$68)^(-Parameter!$C$64)))/12</f>
        <v>1311.66052519895</v>
      </c>
      <c r="D46" s="55" t="n">
        <f aca="false">(SUMPRODUCT(Auszahlung!$AZ$8:$AZ$41,Auszahlung!$BC$8:$BC$41))*(Parameter!$C$68/(1-(1+Parameter!$C$68)^(-Parameter!$C$64)))/12</f>
        <v>1176.86325225479</v>
      </c>
      <c r="E46" s="48" t="s">
        <v>684</v>
      </c>
    </row>
    <row r="47" customFormat="false" ht="15" hidden="false" customHeight="false" outlineLevel="0" collapsed="false">
      <c r="A47" s="19" t="s">
        <v>685</v>
      </c>
      <c r="B47" s="55" t="n">
        <f aca="false">B46*Auszahlung!$BA$8</f>
        <v>587.674841054584</v>
      </c>
      <c r="C47" s="55" t="n">
        <f aca="false">C46*Auszahlung!$BA$8</f>
        <v>768.45211626499</v>
      </c>
      <c r="D47" s="55" t="n">
        <f aca="false">D46*Auszahlung!$BA$8</f>
        <v>689.479510418691</v>
      </c>
      <c r="E47" s="48" t="s">
        <v>686</v>
      </c>
    </row>
    <row r="48" customFormat="false" ht="25.5" hidden="false" customHeight="true" outlineLevel="0" collapsed="false">
      <c r="A48" s="56" t="s">
        <v>687</v>
      </c>
    </row>
    <row r="50" customFormat="false" ht="15" hidden="false" customHeight="false" outlineLevel="0" collapsed="false">
      <c r="A50" s="12" t="s">
        <v>688</v>
      </c>
      <c r="B50" s="57" t="n">
        <f aca="false">B15</f>
        <v>27736.6288798114</v>
      </c>
    </row>
    <row r="51" customFormat="false" ht="15" hidden="false" customHeight="false" outlineLevel="0" collapsed="false">
      <c r="A51" s="12" t="s">
        <v>689</v>
      </c>
      <c r="B51" s="57" t="n">
        <f aca="false">C15</f>
        <v>88413.6569417605</v>
      </c>
    </row>
    <row r="52" customFormat="false" ht="15" hidden="false" customHeight="false" outlineLevel="0" collapsed="false">
      <c r="A52" s="12" t="s">
        <v>690</v>
      </c>
      <c r="B52" s="57" t="n">
        <f aca="false">D15</f>
        <v>73739.8449759836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2026-08-06T07:51:17Z</dcterms:created>
  <dc:creator>openpyxl</dc:creator>
  <dc:description/>
  <dc:language>en-US</dc:language>
  <cp:lastModifiedBy/>
  <dcterms:modified xsi:type="dcterms:W3CDTF">2026-08-06T09:51:19Z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