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nleitung" sheetId="1" state="visible" r:id="rId1"/>
    <sheet xmlns:r="http://schemas.openxmlformats.org/officeDocument/2006/relationships" name="Begriffe" sheetId="2" state="visible" r:id="rId2"/>
    <sheet xmlns:r="http://schemas.openxmlformats.org/officeDocument/2006/relationships" name="Eingaben" sheetId="3" state="visible" r:id="rId3"/>
    <sheet xmlns:r="http://schemas.openxmlformats.org/officeDocument/2006/relationships" name="Parameter" sheetId="4" state="visible" r:id="rId4"/>
    <sheet xmlns:r="http://schemas.openxmlformats.org/officeDocument/2006/relationships" name="Umrechnung" sheetId="5" state="visible" r:id="rId5"/>
    <sheet xmlns:r="http://schemas.openxmlformats.org/officeDocument/2006/relationships" name="Ansparphase" sheetId="6" state="visible" r:id="rId6"/>
    <sheet xmlns:r="http://schemas.openxmlformats.org/officeDocument/2006/relationships" name="Auszahlung" sheetId="7" state="visible" r:id="rId7"/>
    <sheet xmlns:r="http://schemas.openxmlformats.org/officeDocument/2006/relationships" name="Cashflow" sheetId="8" state="visible" r:id="rId8"/>
    <sheet xmlns:r="http://schemas.openxmlformats.org/officeDocument/2006/relationships" name="Vergleich" sheetId="9" state="visible" r:id="rId9"/>
  </sheets>
  <definedNames/>
  <calcPr calcId="124519" fullCalcOnLoad="1"/>
</workbook>
</file>

<file path=xl/styles.xml><?xml version="1.0" encoding="utf-8"?>
<styleSheet xmlns="http://schemas.openxmlformats.org/spreadsheetml/2006/main">
  <numFmts count="6">
    <numFmt numFmtId="164" formatCode="0.0%"/>
    <numFmt numFmtId="165" formatCode="#,##0;(#,##0);&quot;-&quot;"/>
    <numFmt numFmtId="166" formatCode="#,##0.00;(#,##0.00);&quot;-&quot;"/>
    <numFmt numFmtId="167" formatCode="0.0000"/>
    <numFmt numFmtId="168" formatCode="0.000000"/>
    <numFmt numFmtId="169" formatCode="0.00&quot;x&quot;"/>
  </numFmts>
  <fonts count="17">
    <font>
      <name val="Calibri"/>
      <family val="2"/>
      <color theme="1"/>
      <sz val="11"/>
      <scheme val="minor"/>
    </font>
    <font>
      <name val="Arial"/>
      <b val="1"/>
      <color rgb="001F3864"/>
      <sz val="14"/>
    </font>
    <font>
      <name val="Arial"/>
      <i val="1"/>
      <sz val="10"/>
    </font>
    <font>
      <name val="Arial"/>
      <b val="1"/>
      <color rgb="001F3864"/>
      <sz val="11"/>
    </font>
    <font>
      <name val="Arial"/>
      <sz val="10"/>
    </font>
    <font>
      <name val="Arial"/>
      <color rgb="000000FF"/>
      <sz val="10"/>
    </font>
    <font>
      <name val="Arial"/>
      <color rgb="00808080"/>
      <sz val="9"/>
    </font>
    <font>
      <name val="Arial"/>
      <color rgb="00595959"/>
      <sz val="9"/>
    </font>
    <font>
      <name val="Arial"/>
      <b val="1"/>
      <color rgb="00008000"/>
      <sz val="11"/>
    </font>
    <font>
      <name val="Arial"/>
      <i val="1"/>
      <color rgb="00595959"/>
      <sz val="10"/>
    </font>
    <font>
      <name val="Arial"/>
      <color rgb="00008000"/>
      <sz val="10"/>
    </font>
    <font>
      <name val="Arial"/>
      <b val="1"/>
      <color rgb="00FFFFFF"/>
      <sz val="9"/>
    </font>
    <font>
      <name val="Arial"/>
      <b val="1"/>
      <sz val="10"/>
    </font>
    <font>
      <name val="Arial"/>
      <b val="1"/>
      <color rgb="00C00000"/>
      <sz val="11"/>
    </font>
    <font>
      <name val="Arial"/>
      <i val="1"/>
      <color rgb="00595959"/>
      <sz val="9"/>
    </font>
    <font>
      <name val="Arial"/>
      <i val="1"/>
      <color rgb="00C00000"/>
      <sz val="9"/>
    </font>
    <font>
      <name val="Arial"/>
      <b val="1"/>
      <color rgb="001F3864"/>
      <sz val="9"/>
    </font>
  </fonts>
  <fills count="7">
    <fill>
      <patternFill/>
    </fill>
    <fill>
      <patternFill patternType="gray125"/>
    </fill>
    <fill>
      <patternFill patternType="solid">
        <fgColor rgb="00D9E1F2"/>
      </patternFill>
    </fill>
    <fill>
      <patternFill patternType="solid">
        <fgColor rgb="00FFFF00"/>
      </patternFill>
    </fill>
    <fill>
      <patternFill patternType="solid">
        <fgColor rgb="001F3864"/>
      </patternFill>
    </fill>
    <fill>
      <patternFill patternType="solid">
        <fgColor rgb="00F2F2F2"/>
      </patternFill>
    </fill>
    <fill>
      <patternFill patternType="solid">
        <fgColor rgb="00E2EFDA"/>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59">
    <xf numFmtId="0" fontId="0" fillId="0" borderId="0" pivotButton="0" quotePrefix="0" xfId="0"/>
    <xf numFmtId="0" fontId="1" fillId="0" borderId="0" pivotButton="0" quotePrefix="0" xfId="0"/>
    <xf numFmtId="0" fontId="9" fillId="0" borderId="0" pivotButton="0" quotePrefix="0" xfId="0"/>
    <xf numFmtId="0" fontId="4" fillId="0" borderId="0" pivotButton="0" quotePrefix="0" xfId="0"/>
    <xf numFmtId="0" fontId="3" fillId="0" borderId="0" pivotButton="0" quotePrefix="0" xfId="0"/>
    <xf numFmtId="0" fontId="3" fillId="2" borderId="0" pivotButton="0" quotePrefix="0" xfId="0"/>
    <xf numFmtId="0" fontId="0" fillId="2" borderId="0" pivotButton="0" quotePrefix="0" xfId="0"/>
    <xf numFmtId="0" fontId="12" fillId="0" borderId="1" applyAlignment="1" pivotButton="0" quotePrefix="0" xfId="0">
      <alignment vertical="top"/>
    </xf>
    <xf numFmtId="0" fontId="4" fillId="0" borderId="1" applyAlignment="1" pivotButton="0" quotePrefix="0" xfId="0">
      <alignment vertical="top" wrapText="1"/>
    </xf>
    <xf numFmtId="0" fontId="14" fillId="0" borderId="1" applyAlignment="1" pivotButton="0" quotePrefix="0" xfId="0">
      <alignment vertical="top" wrapText="1"/>
    </xf>
    <xf numFmtId="0" fontId="2" fillId="0" borderId="0" pivotButton="0" quotePrefix="0" xfId="0"/>
    <xf numFmtId="0" fontId="5" fillId="3" borderId="1" pivotButton="0" quotePrefix="0" xfId="0"/>
    <xf numFmtId="0" fontId="6" fillId="0" borderId="0" pivotButton="0" quotePrefix="0" xfId="0"/>
    <xf numFmtId="0" fontId="7" fillId="0" borderId="0" pivotButton="0" quotePrefix="0" xfId="0"/>
    <xf numFmtId="164" fontId="5" fillId="3" borderId="1" pivotButton="0" quotePrefix="0" xfId="0"/>
    <xf numFmtId="165" fontId="5" fillId="3" borderId="1" pivotButton="0" quotePrefix="0" xfId="0"/>
    <xf numFmtId="10" fontId="5" fillId="3" borderId="1" pivotButton="0" quotePrefix="0" xfId="0"/>
    <xf numFmtId="165" fontId="8" fillId="0" borderId="1" pivotButton="0" quotePrefix="0" xfId="0"/>
    <xf numFmtId="166" fontId="8" fillId="0" borderId="1" pivotButton="0" quotePrefix="0" xfId="0"/>
    <xf numFmtId="0" fontId="12" fillId="0" borderId="0" pivotButton="0" quotePrefix="0" xfId="0"/>
    <xf numFmtId="166" fontId="10" fillId="0" borderId="0" pivotButton="0" quotePrefix="0" xfId="0"/>
    <xf numFmtId="166" fontId="5" fillId="3" borderId="1" pivotButton="0" quotePrefix="0" xfId="0"/>
    <xf numFmtId="166" fontId="4" fillId="0" borderId="1" pivotButton="0" quotePrefix="0" xfId="0"/>
    <xf numFmtId="10" fontId="4" fillId="0" borderId="1" pivotButton="0" quotePrefix="0" xfId="0"/>
    <xf numFmtId="1" fontId="4" fillId="0" borderId="1" pivotButton="0" quotePrefix="0" xfId="0"/>
    <xf numFmtId="165" fontId="4" fillId="0" borderId="1" pivotButton="0" quotePrefix="0" xfId="0"/>
    <xf numFmtId="164" fontId="10" fillId="0" borderId="1" pivotButton="0" quotePrefix="0" xfId="0"/>
    <xf numFmtId="165" fontId="10" fillId="0" borderId="1" pivotButton="0" quotePrefix="0" xfId="0"/>
    <xf numFmtId="167" fontId="10" fillId="0" borderId="1" pivotButton="0" quotePrefix="0" xfId="0"/>
    <xf numFmtId="0" fontId="11" fillId="4" borderId="0" applyAlignment="1" pivotButton="0" quotePrefix="0" xfId="0">
      <alignment horizontal="center" wrapText="1"/>
    </xf>
    <xf numFmtId="1" fontId="4" fillId="0" borderId="0" pivotButton="0" quotePrefix="0" xfId="0"/>
    <xf numFmtId="166" fontId="4" fillId="0" borderId="0" pivotButton="0" quotePrefix="0" xfId="0"/>
    <xf numFmtId="1" fontId="4" fillId="5" borderId="0" pivotButton="0" quotePrefix="0" xfId="0"/>
    <xf numFmtId="166" fontId="4" fillId="5" borderId="0" pivotButton="0" quotePrefix="0" xfId="0"/>
    <xf numFmtId="168" fontId="8" fillId="0" borderId="1" pivotButton="0" quotePrefix="0" xfId="0"/>
    <xf numFmtId="0" fontId="13" fillId="0" borderId="1" pivotButton="0" quotePrefix="0" xfId="0"/>
    <xf numFmtId="0" fontId="14" fillId="0" borderId="0" pivotButton="0" quotePrefix="0" xfId="0"/>
    <xf numFmtId="0" fontId="11" fillId="4" borderId="0" applyAlignment="1" pivotButton="0" quotePrefix="0" xfId="0">
      <alignment horizontal="center" vertical="center" wrapText="1"/>
    </xf>
    <xf numFmtId="167" fontId="4" fillId="0" borderId="0" pivotButton="0" quotePrefix="0" xfId="0"/>
    <xf numFmtId="164" fontId="4" fillId="0" borderId="0" pivotButton="0" quotePrefix="0" xfId="0"/>
    <xf numFmtId="165" fontId="4" fillId="0" borderId="0" pivotButton="0" quotePrefix="0" xfId="0"/>
    <xf numFmtId="167" fontId="4" fillId="5" borderId="0" pivotButton="0" quotePrefix="0" xfId="0"/>
    <xf numFmtId="164" fontId="4" fillId="5" borderId="0" pivotButton="0" quotePrefix="0" xfId="0"/>
    <xf numFmtId="165" fontId="4" fillId="5" borderId="0" pivotButton="0" quotePrefix="0" xfId="0"/>
    <xf numFmtId="10" fontId="0" fillId="0" borderId="0" pivotButton="0" quotePrefix="0" xfId="0"/>
    <xf numFmtId="165" fontId="0" fillId="0" borderId="0" pivotButton="0" quotePrefix="0" xfId="0"/>
    <xf numFmtId="1" fontId="0" fillId="0" borderId="0" pivotButton="0" quotePrefix="0" xfId="0"/>
    <xf numFmtId="167" fontId="0" fillId="0" borderId="0" pivotButton="0" quotePrefix="0" xfId="0"/>
    <xf numFmtId="0" fontId="7" fillId="0" borderId="0" applyAlignment="1" pivotButton="0" quotePrefix="0" xfId="0">
      <alignment vertical="top" wrapText="1"/>
    </xf>
    <xf numFmtId="165" fontId="8" fillId="6" borderId="1" pivotButton="0" quotePrefix="0" xfId="0"/>
    <xf numFmtId="169" fontId="10" fillId="0" borderId="1" pivotButton="0" quotePrefix="0" xfId="0"/>
    <xf numFmtId="10" fontId="10" fillId="0" borderId="1" pivotButton="0" quotePrefix="0" xfId="0"/>
    <xf numFmtId="166" fontId="10" fillId="0" borderId="1" pivotButton="0" quotePrefix="0" xfId="0"/>
    <xf numFmtId="0" fontId="15" fillId="0" borderId="0" pivotButton="0" quotePrefix="0" xfId="0"/>
    <xf numFmtId="165" fontId="16" fillId="2" borderId="1" applyAlignment="1" pivotButton="0" quotePrefix="0" xfId="0">
      <alignment horizontal="center"/>
    </xf>
    <xf numFmtId="0" fontId="16" fillId="2" borderId="0" applyAlignment="1" pivotButton="0" quotePrefix="0" xfId="0">
      <alignment horizontal="center"/>
    </xf>
    <xf numFmtId="166" fontId="8" fillId="6" borderId="1" pivotButton="0" quotePrefix="0" xfId="0"/>
    <xf numFmtId="0" fontId="14" fillId="0" borderId="0" applyAlignment="1" pivotButton="0" quotePrefix="0" xfId="0">
      <alignment vertical="top" wrapText="1"/>
    </xf>
    <xf numFmtId="165"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Barwert des Netto-Ertrags (heutige Kaufkraft)</a:t>
            </a:r>
          </a:p>
        </rich>
      </tx>
    </title>
    <plotArea>
      <barChart>
        <barDir val="col"/>
        <grouping val="clustered"/>
        <ser>
          <idx val="0"/>
          <order val="0"/>
          <spPr>
            <a:ln xmlns:a="http://schemas.openxmlformats.org/drawingml/2006/main">
              <a:prstDash val="solid"/>
            </a:ln>
          </spPr>
          <cat>
            <numRef>
              <f>'Vergleich'!$A$50:$A$52</f>
            </numRef>
          </cat>
          <val>
            <numRef>
              <f>'Vergleich'!$B$50:$B$52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a:t>
                </a:r>
              </a:p>
            </rich>
          </tx>
        </title>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54</row>
      <rowOff>0</rowOff>
    </from>
    <ext cx="61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2:B100"/>
  <sheetViews>
    <sheetView showGridLines="0" workbookViewId="0">
      <selection activeCell="A1" sqref="A1"/>
    </sheetView>
  </sheetViews>
  <sheetFormatPr baseColWidth="8" defaultRowHeight="15"/>
  <cols>
    <col width="4" customWidth="1" min="1" max="1"/>
    <col width="130" customWidth="1" min="2" max="2"/>
  </cols>
  <sheetData>
    <row r="2">
      <c r="B2" s="1" t="inlineStr">
        <is>
          <t>bAV mit DYNO  vs.  Altersvorsorgedepot  vs.  privates ETF-Depot</t>
        </is>
      </c>
    </row>
    <row r="3">
      <c r="B3" s="2" t="inlineStr">
        <is>
          <t>Rechtsstand 2026. Alle Zahlen sind Formeln - aendern Sie die gelben Zellen im Blatt 'Eingaben' und alles rechnet neu.</t>
        </is>
      </c>
    </row>
    <row r="4">
      <c r="B4" s="3" t="inlineStr"/>
    </row>
    <row r="5">
      <c r="B5" s="4" t="inlineStr">
        <is>
          <t>Aufbau</t>
        </is>
      </c>
    </row>
    <row r="6">
      <c r="B6" s="3" t="inlineStr">
        <is>
          <t>Begriffe       - Legende aller Fachbegriffe und Spaltenueberschriften. Bei Unklarheiten zuerst dort nachsehen.</t>
        </is>
      </c>
    </row>
    <row r="7">
      <c r="B7" s="3" t="inlineStr">
        <is>
          <t>Eingaben       - Ihre persoenlichen Groessen. Nur hier tippen.</t>
        </is>
      </c>
    </row>
    <row r="8">
      <c r="B8" s="3" t="inlineStr">
        <is>
          <t>Umrechnung     - Bisektion, die aus einem vorgegebenen Nettoaufwand den noetigen Bruttobeitrag bestimmt.</t>
        </is>
      </c>
    </row>
    <row r="9">
      <c r="B9" s="3" t="inlineStr">
        <is>
          <t>Parameter      - gesetzliche Rechengroessen 2026 mit Fundstelle. Anpassen, wenn sich das Recht aendert.</t>
        </is>
      </c>
    </row>
    <row r="10">
      <c r="B10" s="3" t="inlineStr">
        <is>
          <t>Ansparphase    - Jahr fuer Jahr: Brutto, SV, Steuer, Nettoaufwand, Einzahlungen, Kapitalentwicklung, Entgeltpunkte.</t>
        </is>
      </c>
    </row>
    <row r="11">
      <c r="B11" s="3" t="inlineStr">
        <is>
          <t>Auszahlung     - Jahr fuer Jahr: Bruttozufluss, KV/PV, Steuer, Netto je Option.</t>
        </is>
      </c>
    </row>
    <row r="12">
      <c r="B12" s="3" t="inlineStr">
        <is>
          <t>Cashflow       - Zahlungsstroeme fuer interne Zinsfuesse und Barwerte.</t>
        </is>
      </c>
    </row>
    <row r="13">
      <c r="B13" s="3" t="inlineStr">
        <is>
          <t>Vergleich      - das Ergebnis nebeneinander, mit Diagramm.</t>
        </is>
      </c>
    </row>
    <row r="14">
      <c r="B14" s="3" t="inlineStr"/>
    </row>
    <row r="15">
      <c r="B15" s="4" t="inlineStr">
        <is>
          <t>Das Vergleichsprinzip</t>
        </is>
      </c>
    </row>
    <row r="16">
      <c r="B16" s="3" t="inlineStr">
        <is>
          <t>Ein Vergleich von Bruttobeitraegen waere unfair: die Entgeltumwandlung kommt aus dem Brutto, das private Sparen aus dem Netto.</t>
        </is>
      </c>
    </row>
    <row r="17">
      <c r="B17" s="3" t="inlineStr">
        <is>
          <t>Deshalb wird der NETTOAUFWAND gleichgesetzt. Aus dem eingegebenen Bruttobeitrag folgt, wieviel Netto tatsaechlich fehlt</t>
        </is>
      </c>
    </row>
    <row r="18">
      <c r="B18" s="3" t="inlineStr">
        <is>
          <t>(Beitrag minus gesparte Lohnsteuer minus gesparter Arbeitnehmeranteil zur Sozialversicherung). Genau dieser Betrag wird in</t>
        </is>
      </c>
    </row>
    <row r="19">
      <c r="B19" s="3" t="inlineStr">
        <is>
          <t>den beiden anderen Optionen investiert. Was uebrig bleibt, ist ein echter Vergleich der Foerderarchitekturen.</t>
        </is>
      </c>
    </row>
    <row r="20">
      <c r="B20" s="3" t="inlineStr">
        <is>
          <t>Ueber den Vorgabemodus koennen Sie die Richtung umkehren und direkt den Nettoaufwand festlegen - oekonomisch ist</t>
        </is>
      </c>
    </row>
    <row r="21">
      <c r="B21" s="3" t="inlineStr">
        <is>
          <t>das die natuerlichere Groesse, denn sie misst den tatsaechlich aufgegebenen Konsum. Der Bruttobeitrag des ersten</t>
        </is>
      </c>
    </row>
    <row r="22">
      <c r="B22" s="3" t="inlineStr">
        <is>
          <t>Jahres wird dann zurueckgerechnet und danach nach der eingestellten Dynamisierungsregel fortgeschrieben; in</t>
        </is>
      </c>
    </row>
    <row r="23">
      <c r="B23" s="3" t="inlineStr">
        <is>
          <t>spaeteren Jahren kann der Nettoaufwand daher leicht abweichen (Teilzeit, Tarifprogression, Beitragsbemessungsgrenzen).</t>
        </is>
      </c>
    </row>
    <row r="24">
      <c r="B24" s="3" t="inlineStr"/>
    </row>
    <row r="25">
      <c r="B25" s="4" t="inlineStr">
        <is>
          <t>Die drei Optionen im Kern</t>
        </is>
      </c>
    </row>
    <row r="26">
      <c r="B26" s="3" t="inlineStr">
        <is>
          <t>1) bAV (Direktversicherung, ETF-basiert, z.B. DYNO)</t>
        </is>
      </c>
    </row>
    <row r="27">
      <c r="B27" s="3" t="inlineStr">
        <is>
          <t xml:space="preserve">   + Beitrag steuerfrei bis 8 % der BBG-RV ( 3 Nr. 63 EStG), sozialabgabenfrei bis 4 % ( 1 Abs. 1 S. 1 Nr. 9 SvEV)</t>
        </is>
      </c>
    </row>
    <row r="28">
      <c r="B28" s="3" t="inlineStr">
        <is>
          <t xml:space="preserve">   + Arbeitgeberzuschuss von mindestens 15 % ( 1a Abs. 1a BetrAVG) - das ist der eigentliche Renditetreiber</t>
        </is>
      </c>
    </row>
    <row r="29">
      <c r="B29" s="3" t="inlineStr">
        <is>
          <t xml:space="preserve">   + ggf. zusaetzlich ein tarifvertraglicher FESTBETRAG unabhaengig vom Monatsbeitrag (z.B. Deutsche Bahn)</t>
        </is>
      </c>
    </row>
    <row r="30">
      <c r="B30" s="3" t="inlineStr">
        <is>
          <t xml:space="preserve">   - Leistung voll steuerpflichtig ( 22 Nr. 5 S. 1 EStG); Kapitalabfindung trifft in einem Jahr den Spitzensteuersatz</t>
        </is>
      </c>
    </row>
    <row r="31">
      <c r="B31" s="3" t="inlineStr">
        <is>
          <t xml:space="preserve">   - Kranken- und Pflegeversicherung auf die volle Leistung, Beitragssatz allein vom Rentner ( 229, 250 SGB V)</t>
        </is>
      </c>
    </row>
    <row r="32">
      <c r="B32" s="3" t="inlineStr">
        <is>
          <t xml:space="preserve">   - Entgeltumwandlung mindert die Entgeltpunkte und damit die gesetzliche Rente</t>
        </is>
      </c>
    </row>
    <row r="33">
      <c r="B33" s="3" t="inlineStr">
        <is>
          <t xml:space="preserve">   - Produktkosten des Versicherungsmantels, gebundenes Kapital bis zum Rentenalter</t>
        </is>
      </c>
    </row>
    <row r="34">
      <c r="B34" s="3" t="inlineStr">
        <is>
          <t>2) Altersvorsorgedepot (ab 1.1.2027, Altersvorsorgereformgesetz)</t>
        </is>
      </c>
    </row>
    <row r="35">
      <c r="B35" s="3" t="inlineStr">
        <is>
          <t xml:space="preserve">   + Zulage 50 Cent je Euro bis 360 EUR, 25 Cent je Euro bis 1.800 EUR (max. 540 EUR Grundzulage), 300 EUR je Kind</t>
        </is>
      </c>
    </row>
    <row r="36">
      <c r="B36" s="3" t="inlineStr">
        <is>
          <t xml:space="preserve">   + steuerfreie Thesaurierung in der Ansparphase - keine Vorabpauschale, kein Steuerabzug auf Ausschuettungen</t>
        </is>
      </c>
    </row>
    <row r="37">
      <c r="B37" s="3" t="inlineStr">
        <is>
          <t xml:space="preserve">   + KEINE Kranken- und Pflegeversicherungsbeitraege auf die Leistung</t>
        </is>
      </c>
    </row>
    <row r="38">
      <c r="B38" s="3" t="inlineStr">
        <is>
          <t xml:space="preserve">   - gefoerderte Teile voll nachgelagert steuerpflichtig; Beitraege ueber 1.800 EUR sind nicht gefoerdert</t>
        </is>
      </c>
    </row>
    <row r="39">
      <c r="B39" s="3" t="inlineStr">
        <is>
          <t xml:space="preserve">   - Auszahlung fruehestens ab 65, Kapital gebunden, Anlageuniversum durch Positivliste begrenzt</t>
        </is>
      </c>
    </row>
    <row r="40">
      <c r="B40" s="3" t="inlineStr">
        <is>
          <t>3) Privates ETF-Depot</t>
        </is>
      </c>
    </row>
    <row r="41">
      <c r="B41" s="3" t="inlineStr">
        <is>
          <t xml:space="preserve">   + voellig flexibel, jederzeit verfuegbar, vererbbar, keine Produktbindung, niedrigste Kosten</t>
        </is>
      </c>
    </row>
    <row r="42">
      <c r="B42" s="3" t="inlineStr">
        <is>
          <t xml:space="preserve">   - Vorabpauschale nach 18 InvStG in jedem Jahr mit Wertzuwachs (Basiszins 2026: 3,20 %)</t>
        </is>
      </c>
    </row>
    <row r="43">
      <c r="B43" s="3" t="inlineStr">
        <is>
          <t xml:space="preserve">   - Abgeltungsteuer 25 % zzgl. Soli und ggf. Kirchensteuer auf 70 % des Gewinns (30 % Teilfreistellung)</t>
        </is>
      </c>
    </row>
    <row r="44">
      <c r="B44" s="3" t="inlineStr">
        <is>
          <t xml:space="preserve">   - keine Foerderung, kein Fremdgeld</t>
        </is>
      </c>
    </row>
    <row r="45">
      <c r="B45" s="3" t="inlineStr"/>
    </row>
    <row r="46">
      <c r="B46" s="4" t="inlineStr">
        <is>
          <t>Wichtige Modellannahmen (bitte lesen, bevor Sie dem Ergebnis glauben)</t>
        </is>
      </c>
    </row>
    <row r="47">
      <c r="B47" s="3" t="inlineStr">
        <is>
          <t>- Das zu versteuernde Einkommen wird aus dem Brutto naeherungsweise abgeleitet: abzueglich Arbeitnehmer-Pauschbetrag,</t>
        </is>
      </c>
    </row>
    <row r="48">
      <c r="B48" s="3" t="inlineStr">
        <is>
          <t xml:space="preserve">  Sonderausgaben-Pauschbetrag und der abziehbaren Vorsorgeaufwendungen (RV voll, KV zu 96 %, PV voll). Genauigkeit ca. 1 %.</t>
        </is>
      </c>
    </row>
    <row r="49">
      <c r="B49" s="3" t="inlineStr">
        <is>
          <t>- Der Einkommensteuertarif wird mit dem eingegebenen Satz gestreckt: ESt = s * L * T(zvE / s / L). Das ist exakt aequivalent</t>
        </is>
      </c>
    </row>
    <row r="50">
      <c r="B50" s="3" t="inlineStr">
        <is>
          <t xml:space="preserve">  zu einer proportionalen Verschiebung aller Tarifeckwerte. Auf 0 % setzen, um die kalte Progression zu sehen.</t>
        </is>
      </c>
    </row>
    <row r="51">
      <c r="B51" s="3" t="inlineStr">
        <is>
          <t>- BBG, Bezugsgroesse, Durchschnittsentgelt und Rentenwert werden mit der Lohnsteigerung fortgeschrieben.</t>
        </is>
      </c>
    </row>
    <row r="52">
      <c r="B52" s="3" t="inlineStr">
        <is>
          <t>- Oberhalb der Beitragsbemessungsgrenzen ist die Entgeltumwandlung sozialversicherungsrechtlich neutral: die</t>
        </is>
      </c>
    </row>
    <row r="53">
      <c r="B53" s="3" t="inlineStr">
        <is>
          <t xml:space="preserve">  Bemessungsgrundlage bleibt gedeckelt, also spart weder Arbeitnehmer noch Arbeitgeber Beitraege, und es gehen</t>
        </is>
      </c>
    </row>
    <row r="54">
      <c r="B54" s="3" t="inlineStr">
        <is>
          <t xml:space="preserve">  auch keine Entgeltpunkte verloren. Beides folgt aus derselben Differenz und ist im Modell zwingend gekoppelt.</t>
        </is>
      </c>
    </row>
    <row r="55">
      <c r="B55" s="3" t="inlineStr">
        <is>
          <t xml:space="preserve">  Der Zuschussmodus 2 zieht daraus die Konsequenz und setzt den prozentualen Zuschuss dann auf null.</t>
        </is>
      </c>
    </row>
    <row r="56">
      <c r="B56" s="3" t="inlineStr">
        <is>
          <t>- Der FESTE Arbeitgeberzuschuss (z.B. Deutsche Bahn) ist betragsunabhaengig und vom Zuschussmodus unberuehrt: er</t>
        </is>
      </c>
    </row>
    <row r="57">
      <c r="B57" s="3" t="inlineStr">
        <is>
          <t xml:space="preserve">  beruht auf Tarifvertrag oder Betriebsvereinbarung, nicht auf 1a Abs. 1a BetrAVG, und kommt oben drauf.</t>
        </is>
      </c>
    </row>
    <row r="58">
      <c r="B58" s="3" t="inlineStr">
        <is>
          <t xml:space="preserve">  Als arbeitgeberfinanzierte Zuwendung nach 3 Nr. 63 EStG belegt er den 8-%-Topf und die 4-%-Beitragsfreiheit</t>
        </is>
      </c>
    </row>
    <row r="59">
      <c r="B59" s="3" t="inlineStr">
        <is>
          <t xml:space="preserve">  VORRANGIG; die eigene Entgeltumwandlung wird insoweit verdraengt und teurer. Sein Barwert waechst nicht mit dem</t>
        </is>
      </c>
    </row>
    <row r="60">
      <c r="B60" s="3" t="inlineStr">
        <is>
          <t xml:space="preserve">  Beitrag - oekonomisch ist er ein Sockel, kein Hebel: er hebt den Durchschnittsertrag, nicht die Grenzrendite.</t>
        </is>
      </c>
    </row>
    <row r="61">
      <c r="B61" s="3" t="inlineStr">
        <is>
          <t xml:space="preserve">  NICHT abgebildet: uebersteigt der feste Zuschuss allein 4 % der BBG-RV, waere der Ueberhang beim Arbeitnehmer</t>
        </is>
      </c>
    </row>
    <row r="62">
      <c r="B62" s="3" t="inlineStr">
        <is>
          <t xml:space="preserve">  beitragspflichtiges Arbeitsentgelt. Das Modell rechnet diese Beitragslast nicht gegen und ueberschaetzt die bAV</t>
        </is>
      </c>
    </row>
    <row r="63">
      <c r="B63" s="3" t="inlineStr">
        <is>
          <t xml:space="preserve">  insoweit; das Blatt 'Kennzahlen' weist den Ueberhang aus. Vertrauensgrad der Vorrang-Lesart ca. 80 %.</t>
        </is>
      </c>
    </row>
    <row r="64">
      <c r="B64" s="3" t="inlineStr">
        <is>
          <t>- Beitraege gelten als unterjaehrig geleistet (Verzinsung mit (1+r)^0,5 im Einzahlungsjahr).</t>
        </is>
      </c>
    </row>
    <row r="65">
      <c r="B65" s="3" t="inlineStr">
        <is>
          <t>- In der Auszahlungsphase wird die Vorabpauschale nicht mehr fortgeschrieben; sie waere durch die Anrechnung auf den</t>
        </is>
      </c>
    </row>
    <row r="66">
      <c r="B66" s="3" t="inlineStr">
        <is>
          <t xml:space="preserve">  realisierten Gewinn ( 19 InvStG) barwertig weitgehend neutral.</t>
        </is>
      </c>
    </row>
    <row r="67">
      <c r="B67" s="3" t="inlineStr">
        <is>
          <t>- Der Sonderausgabenhoechstbetrag von 2.340 EUR fuer das Altersvorsorgedepot ist eine Modellannahme aus der BMF-FAQ</t>
        </is>
      </c>
    </row>
    <row r="68">
      <c r="B68" s="3" t="inlineStr">
        <is>
          <t xml:space="preserve">  (Eigenbeitrag bis 1.800 EUR zuzueglich Zulagen). Vertrauensgrad rund 70 % - im Blatt 'Parameter' aenderbar.</t>
        </is>
      </c>
    </row>
    <row r="69">
      <c r="B69" s="3" t="inlineStr">
        <is>
          <t>- Guenstigerpruefung nach 10a Abs. 2 EStG: die Gesamtfoerderung ist das MAXIMUM aus Zulagenanspruch und Steuervorteil</t>
        </is>
      </c>
    </row>
    <row r="70">
      <c r="B70" s="3" t="inlineStr">
        <is>
          <t xml:space="preserve">  aus dem Sonderausgabenabzug, nicht deren Summe. Solange der Steuervorteil groesser ist, erhoeht eine zusaetzliche</t>
        </is>
      </c>
    </row>
    <row r="71">
      <c r="B71" s="3" t="inlineStr">
        <is>
          <t xml:space="preserve">  Kinderzulage die Foerderung um exakt null - sie wird vollstaendig angerechnet. Erst wenn die Zulage den Steuervorteil</t>
        </is>
      </c>
    </row>
    <row r="72">
      <c r="B72" s="3" t="inlineStr">
        <is>
          <t xml:space="preserve">  uebersteigt, fliesst echtes zusaetzliches Geld. Das ist der Grund fuer scheinbar paradoxe Ergebnisse bei einem Kind.</t>
        </is>
      </c>
    </row>
    <row r="73">
      <c r="B73" s="3" t="inlineStr">
        <is>
          <t>- Die Steuererstattung aus der Guenstigerpruefung wird im Folgejahr als NICHT gefoerderter Beitrag in denselben Vertrag</t>
        </is>
      </c>
    </row>
    <row r="74">
      <c r="B74" s="3" t="inlineStr">
        <is>
          <t xml:space="preserve">  reinvestiert. Das ist eine Konvention, keine Rechtsfolge; sie haelt den Nettoaufwand aller drei Optionen exakt gleich.</t>
        </is>
      </c>
    </row>
    <row r="75">
      <c r="B75" s="3" t="inlineStr">
        <is>
          <t>- Die bAV wird in ZWEI Schichten gefuehrt: gefoerdert (bis 8 % der BBG-RV, 3 Nr. 63 EStG, voll nachgelagert</t>
        </is>
      </c>
    </row>
    <row r="76">
      <c r="B76" s="3" t="inlineStr">
        <is>
          <t xml:space="preserve">  steuerpflichtig) und NICHT gefoerdert (der Rest, aus versteuertem Entgelt; bei Kapitalauszahlung nur halber</t>
        </is>
      </c>
    </row>
    <row r="77">
      <c r="B77" s="3" t="inlineStr">
        <is>
          <t xml:space="preserve">  Unterschiedsbetrag nach 22 Nr. 5 S. 2 Buchst. b i.V.m. 20 Abs. 1 Nr. 6 S. 2 EStG, bei Rente Ertragsanteil).</t>
        </is>
      </c>
    </row>
    <row r="78">
      <c r="B78" s="3" t="inlineStr">
        <is>
          <t xml:space="preserve">  Ohne diese Trennung wuerde derselbe Euro zweimal besteuert - und der Barwert der bAV bei hohen Beitraegen negativ.</t>
        </is>
      </c>
    </row>
    <row r="79">
      <c r="B79" s="3" t="inlineStr">
        <is>
          <t>- Die Beitragsbemessungsgrenze der KV wird auf die Summe aus gesetzlicher Rente und Versorgungsbezuegen angewandt</t>
        </is>
      </c>
    </row>
    <row r="80">
      <c r="B80" s="3" t="inlineStr">
        <is>
          <t xml:space="preserve">  ( 223 Abs. 3 SGB V). Dafuer wird die gesetzliche Bruttorente als Eingabe benoetigt.</t>
        </is>
      </c>
    </row>
    <row r="81">
      <c r="B81" s="3" t="inlineStr">
        <is>
          <t>- Bei der lebenslangen bAV-Rente ist der Vergleich horizontabhaengig: das Modell zaehlt nur die Zahlungen bis zum</t>
        </is>
      </c>
    </row>
    <row r="82">
      <c r="B82" s="3" t="inlineStr">
        <is>
          <t xml:space="preserve">  eingestellten Vergleichshorizont. Die Zahlungen danach stehen als Memo-Zeile im Blatt 'Vergleich'. Eine Leibrente ist</t>
        </is>
      </c>
    </row>
    <row r="83">
      <c r="B83" s="3" t="inlineStr">
        <is>
          <t xml:space="preserve">  primaer eine Versicherung gegen Langlebigkeit, kein Renditeprodukt - sie kann deshalb im Barwertvergleich nur verlieren.</t>
        </is>
      </c>
    </row>
    <row r="84">
      <c r="B84" s="3" t="inlineStr">
        <is>
          <t>- Nicht modelliert: Abschlaege bei vorzeitigem Rentenbezug, Auswirkungen der Entgeltumwandlung auf Kranken-, Arbeitslosen-</t>
        </is>
      </c>
    </row>
    <row r="85">
      <c r="B85" s="3" t="inlineStr">
        <is>
          <t xml:space="preserve">  und Elterngeld, Hinterbliebenenversorgung, Insolvenzsicherung (PSVaG), Portabilitaet bei Arbeitgeberwechsel,</t>
        </is>
      </c>
    </row>
    <row r="86">
      <c r="B86" s="3" t="inlineStr">
        <is>
          <t xml:space="preserve">  Kinderabschlaege in der Pflegeversicherung, Guenstigerpruefung nach 32d Abs. 6 EStG.</t>
        </is>
      </c>
    </row>
    <row r="87">
      <c r="B87" s="3" t="inlineStr"/>
    </row>
    <row r="88">
      <c r="B88" s="4" t="inlineStr">
        <is>
          <t>Quellen</t>
        </is>
      </c>
    </row>
    <row r="89">
      <c r="B89" s="3" t="inlineStr">
        <is>
          <t>SVBezGrV 2026 - https://www.gesetze-im-internet.de/svbezgrv_2026/BJNR1160A0025.html</t>
        </is>
      </c>
    </row>
    <row r="90">
      <c r="B90" s="3" t="inlineStr">
        <is>
          <t>32a EStG - https://www.gesetze-im-internet.de/estg/__32a.html</t>
        </is>
      </c>
    </row>
    <row r="91">
      <c r="B91" s="3" t="inlineStr">
        <is>
          <t>BMF, FAQ zur Reform der gefoerderten privaten Altersvorsorge, 05.05.2026 -</t>
        </is>
      </c>
    </row>
    <row r="92">
      <c r="B92" s="3" t="inlineStr">
        <is>
          <t xml:space="preserve">   https://www.bundesfinanzministerium.de/Content/DE/FAQ/reform-der-privaten-altersvorsorge.html</t>
        </is>
      </c>
    </row>
    <row r="93">
      <c r="B93" s="3" t="inlineStr">
        <is>
          <t>Bundesregierung, Private Altersvorsorge wird attraktiver, 01.06.2026 -</t>
        </is>
      </c>
    </row>
    <row r="94">
      <c r="B94" s="3" t="inlineStr">
        <is>
          <t xml:space="preserve">   https://www.bundesregierung.de/breg-de/aktuelles/reform-private-altersvorsorge-2400072</t>
        </is>
      </c>
    </row>
    <row r="95">
      <c r="B95" s="3" t="inlineStr">
        <is>
          <t>BMF-Schreiben vom 13.01.2026, Basiszins zur Vorabpauschale ( 18 Abs. 4 InvStG) -</t>
        </is>
      </c>
    </row>
    <row r="96">
      <c r="B96" s="3" t="inlineStr">
        <is>
          <t xml:space="preserve">   https://www.bundesfinanzministerium.de/Content/DE/Downloads/BMF_Schreiben/Steuerarten/Investmentsteuer/2026-01-13-basiszins-berechnung-vorabpauschale.pdf</t>
        </is>
      </c>
    </row>
    <row r="97">
      <c r="B97" s="3" t="inlineStr">
        <is>
          <t>GKV-Spitzenverband, Rechengroessen 2026 - https://www.gkv-spitzenverband.de/media/dokumente/presse/zahlen_und_grafiken/20260101_Faktenblatt_Rechengroessen_Beitragsrecht.pdf</t>
        </is>
      </c>
    </row>
    <row r="98">
      <c r="B98" s="3" t="inlineStr">
        <is>
          <t>DYNO - https://heydyno.de</t>
        </is>
      </c>
    </row>
    <row r="99">
      <c r="B99" s="3" t="inlineStr"/>
    </row>
    <row r="100">
      <c r="B100" s="2" t="inlineStr">
        <is>
          <t>Keine Steuer- oder Anlageberatung. Ich bin weder Steuerberater noch Anlageberater; das Modell ersetzt keine Pruefung des konkreten Vertrags.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1:D46"/>
  <sheetViews>
    <sheetView showGridLines="0" workbookViewId="0">
      <selection activeCell="A1" sqref="A1"/>
    </sheetView>
  </sheetViews>
  <sheetFormatPr baseColWidth="8" defaultRowHeight="15"/>
  <cols>
    <col width="3" customWidth="1" min="1" max="1"/>
    <col width="34" customWidth="1" min="2" max="2"/>
    <col width="104" customWidth="1" min="3" max="3"/>
    <col width="44" customWidth="1" min="4" max="4"/>
  </cols>
  <sheetData>
    <row r="1">
      <c r="B1" s="1" t="inlineStr">
        <is>
          <t>Begriffslegende</t>
        </is>
      </c>
    </row>
    <row r="2">
      <c r="B2" s="2" t="inlineStr">
        <is>
          <t>Die zentralen Groessen des Modells. Wo eine Rechtsnorm existiert, steht sie in der dritten Spalte; wo es eine Modellkonvention ist, steht das ausdruecklich dort.</t>
        </is>
      </c>
    </row>
    <row r="4">
      <c r="B4" s="5" t="inlineStr">
        <is>
          <t>Die Kerngroesse des Vergleichs</t>
        </is>
      </c>
      <c r="C4" s="6" t="n"/>
      <c r="D4" s="6" t="n"/>
    </row>
    <row r="5" ht="117" customHeight="1">
      <c r="B5" s="7" t="inlineStr">
        <is>
          <t>Nettoaufwand</t>
        </is>
      </c>
      <c r="C5" s="8" t="inlineStr">
        <is>
          <t>Betrag, um den Ihr verfuegbares Einkommen im Beitragsjahr tatsaechlich sinkt:
    Nettoaufwand  =  Bruttobeitrag  -  Lohnsteuerersparnis  -  ersparter AN-Anteil zur Sozialversicherung
Beispiel Basisfall: 3.600 - 1.237 - 382 = 1.981 EUR. Sie wandeln 3.600 EUR Brutto um, spueren aber nur 1.981 EUR.
Genau dieser Betrag - nicht der Bruttobeitrag - wird in den beiden anderen Optionen investiert, denn privates Sparen erfolgt aus versteuertem Einkommen. Ohne diese Normierung wuerde man 3.600 EUR brutto gegen 3.600 EUR netto vergleichen und die bAV systematisch bevorzugen.</t>
        </is>
      </c>
      <c r="D5" s="9" t="inlineStr">
        <is>
          <t>Spalte AE im Blatt 'Ansparphase'</t>
        </is>
      </c>
    </row>
    <row r="6" ht="117" customHeight="1">
      <c r="B6" s="7" t="inlineStr">
        <is>
          <t>Vorgabemodus</t>
        </is>
      </c>
      <c r="C6" s="8" t="inlineStr">
        <is>
          <t>Modus 1: Sie geben den Bruttobeitrag vor, der Nettoaufwand ergibt sich.
Modus 2: Sie geben den Nettoaufwand vor - also den aufgegebenen Konsum - und der noetige Bruttobeitrag wird zurueckgerechnet.
Die Umkehrung ist nicht geschlossen darstellbar, weil N(B) Knicke bei 4 % und 8 % der BBG-RV, an den Beitragsbemessungsgrenzen und an den Tarifeckwerten hat. N ist aber stetig und streng monoton wachsend (dN/dB = 1 - Grenz-SV-Satz - Grenzsteuersatz, im Regelfall etwa 0,5 bis 0,6), also konvergiert eine Bisektion garantiert. Das Blatt 'Umrechnung' fuehrt 34 Schritte auf dem Intervall [0; Bruttogehalt] aus.</t>
        </is>
      </c>
      <c r="D6" s="9" t="inlineStr">
        <is>
          <t>Blatt 'Umrechnung'</t>
        </is>
      </c>
    </row>
    <row r="7" ht="39" customHeight="1">
      <c r="B7" s="7" t="inlineStr">
        <is>
          <t>Fremdgeld</t>
        </is>
      </c>
      <c r="C7" s="8" t="inlineStr">
        <is>
          <t>Geld, das nicht von Ihnen kommt: der Arbeitgeberzuschuss bei der bAV, die Zulagen beim Altersvorsorgedepot. Der einzige Posten, der eine gefoerderte Anlage strukturell besser machen kann als ein freies Depot - der Steueraufschub allein leistet das nicht.</t>
        </is>
      </c>
      <c r="D7" s="9" t="inlineStr">
        <is>
          <t>Zeile 6 im Blatt 'Vergleich'</t>
        </is>
      </c>
    </row>
    <row r="8">
      <c r="B8" s="5" t="inlineStr">
        <is>
          <t>Steuer</t>
        </is>
      </c>
      <c r="C8" s="6" t="n"/>
      <c r="D8" s="6" t="n"/>
    </row>
    <row r="9" ht="28" customHeight="1">
      <c r="B9" s="7" t="inlineStr">
        <is>
          <t>Grenzsteuersatz</t>
        </is>
      </c>
      <c r="C9" s="8" t="inlineStr">
        <is>
          <t>Steuer auf den naechsten verdienten Euro, also die Ableitung des Tarifs. Entscheidend fuer den Wert eines Abzugs. 2026 zwischen 14 % und 45 %.</t>
        </is>
      </c>
      <c r="D9" s="9" t="inlineStr">
        <is>
          <t>32a EStG</t>
        </is>
      </c>
    </row>
    <row r="10" ht="28" customHeight="1">
      <c r="B10" s="7" t="inlineStr">
        <is>
          <t>Durchschnittssteuersatz</t>
        </is>
      </c>
      <c r="C10" s="8" t="inlineStr">
        <is>
          <t>Gesamte Steuer geteilt durch das gesamte zu versteuernde Einkommen. Immer kleiner als der Grenzsteuersatz. Relevant fuer die Auszahlungsphase, wenn eine grosse Summe auf einmal zufliesst.</t>
        </is>
      </c>
      <c r="D10" s="9" t="inlineStr"/>
    </row>
    <row r="11" ht="39" customHeight="1">
      <c r="B11" s="7" t="inlineStr">
        <is>
          <t>zvE</t>
        </is>
      </c>
      <c r="C11" s="8" t="inlineStr">
        <is>
          <t>Zu versteuerndes Einkommen: Bruttogehalt abzueglich Werbungskosten (mindestens Arbeitnehmer-Pauschbetrag), Sonderausgaben-Pauschbetrag und abziehbarer Vorsorgeaufwendungen. Bemessungsgrundlage des Tarifs.</t>
        </is>
      </c>
      <c r="D11" s="9" t="inlineStr">
        <is>
          <t>2 Abs. 5 EStG</t>
        </is>
      </c>
    </row>
    <row r="12" ht="28" customHeight="1">
      <c r="B12" s="7" t="inlineStr">
        <is>
          <t>Splittingtarif</t>
        </is>
      </c>
      <c r="C12" s="8" t="inlineStr">
        <is>
          <t>Bei Zusammenveranlagung: ESt = 2 x T((zvE1 + zvE2)/2). Senkt den Grenzsteuersatz stark, solange das halbierte Einkommen in der Progressionszone liegt, und wirkt gar nicht mehr im Spitzensteuersatz.</t>
        </is>
      </c>
      <c r="D12" s="9" t="inlineStr">
        <is>
          <t>32a Abs. 5 EStG</t>
        </is>
      </c>
    </row>
    <row r="13" ht="39" customHeight="1">
      <c r="B13" s="7" t="inlineStr">
        <is>
          <t>Tarifindex L (lambda)</t>
        </is>
      </c>
      <c r="C13" s="8" t="inlineStr">
        <is>
          <t>Streckungsfaktor des Steuertarifs fuer kuenftige Jahre. Das Modell rechnet ESt = s * L * T(zvE / s / L), was exakt einer proportionalen Verschiebung aller Tarifeckwerte entspricht. L = 1 bedeutet: keine Anpassung, also volle kalte Progression.</t>
        </is>
      </c>
      <c r="D13" s="9" t="inlineStr">
        <is>
          <t>Modellkonvention</t>
        </is>
      </c>
    </row>
    <row r="14" ht="39" customHeight="1">
      <c r="B14" s="7" t="inlineStr">
        <is>
          <t>Nachgelagerte Besteuerung</t>
        </is>
      </c>
      <c r="C14" s="8" t="inlineStr">
        <is>
          <t>Beitraege bleiben steuerfrei, dafuer ist die spaetere Leistung voll steuerpflichtig. Rechnerisch ist der Aufschub fuer sich genommen wertneutral, weil (1-t) * (1+r)^n = (1+r)^n * (1-t). Er lohnt nur, wenn der Steuersatz bei Auszahlung niedriger ist als bei Einzahlung.</t>
        </is>
      </c>
      <c r="D14" s="9" t="inlineStr">
        <is>
          <t>22 Nr. 5 S. 1 EStG</t>
        </is>
      </c>
    </row>
    <row r="15" ht="39" customHeight="1">
      <c r="B15" s="7" t="inlineStr">
        <is>
          <t>Fuenftelregelung</t>
        </is>
      </c>
      <c r="C15" s="8" t="inlineStr">
        <is>
          <t>Ermaessigte Besteuerung ausserordentlicher Einkuenfte: die Steuer wird auf ein Fuenftel berechnet und verfuenffacht. Bei planmaessigen Kapitalabfindungen aus 3 Nr. 63-Vertraegen nach der Rechtsprechung nur ausnahmsweise anwendbar - im Modell abschaltbar und per Default aus.</t>
        </is>
      </c>
      <c r="D15" s="9" t="inlineStr">
        <is>
          <t>34 EStG</t>
        </is>
      </c>
    </row>
    <row r="16">
      <c r="B16" s="5" t="inlineStr">
        <is>
          <t>Sozialversicherung</t>
        </is>
      </c>
      <c r="C16" s="6" t="n"/>
      <c r="D16" s="6" t="n"/>
    </row>
    <row r="17" ht="39" customHeight="1">
      <c r="B17" s="7" t="inlineStr">
        <is>
          <t>Beitragsbemessungsgrenze (BBG)</t>
        </is>
      </c>
      <c r="C17" s="8" t="inlineStr">
        <is>
          <t>Obergrenze des beitragspflichtigen Entgelts. 2026: 101.400 EUR in RV und AV, 69.750 EUR in KV und PV. Oberhalb der Grenze ist eine Entgeltumwandlung sozialversicherungsrechtlich neutral - weder Sie noch Ihr Arbeitgeber sparen etwas, und es gehen auch keine Entgeltpunkte verloren.</t>
        </is>
      </c>
      <c r="D17" s="9" t="inlineStr">
        <is>
          <t>159 ff. SGB VI, 223 SGB V</t>
        </is>
      </c>
    </row>
    <row r="18" ht="28" customHeight="1">
      <c r="B18" s="7" t="inlineStr">
        <is>
          <t>Bezugsgroesse</t>
        </is>
      </c>
      <c r="C18" s="8" t="inlineStr">
        <is>
          <t>Rechengroesse des Sozialrechts, 2026: 3.955 EUR monatlich. Wichtig hier vor allem als Basis des Freibetrags auf Versorgungsbezuege (ein Zwanzigstel).</t>
        </is>
      </c>
      <c r="D18" s="9" t="inlineStr">
        <is>
          <t>18 SGB IV</t>
        </is>
      </c>
    </row>
    <row r="19" ht="52" customHeight="1">
      <c r="B19" s="7" t="inlineStr">
        <is>
          <t>Versorgungsbezug</t>
        </is>
      </c>
      <c r="C19" s="8" t="inlineStr">
        <is>
          <t>Leistung aus betrieblicher Altersversorgung. In der GKV beitragspflichtig, und zwar mit dem VOLLEN Beitragssatz, den der Rentner allein traegt. Eine Kapitalabfindung wird dafuer auf 120 Monate verteilt. Leistungen aus PRIVATER Altersvorsorge sind keine Versorgungsbezuege und bleiben beitragsfrei - der groesste einzelne Unterschied zwischen den drei Optionen.</t>
        </is>
      </c>
      <c r="D19" s="9" t="inlineStr">
        <is>
          <t>229, 250 Abs. 1 Nr. 1 SGB V</t>
        </is>
      </c>
    </row>
    <row r="20" ht="39" customHeight="1">
      <c r="B20" s="7" t="inlineStr">
        <is>
          <t>Freibetrag / Freigrenze</t>
        </is>
      </c>
      <c r="C20" s="8" t="inlineStr">
        <is>
          <t>Beim Freibetrag bleibt nur der Betrag bis zur Grenze unbelastet, der Rest wird belastet (KV: 197,75 EUR/Monat in 2026). Bei der Freigrenze wird bei Ueberschreiten der GESAMTE Betrag belastet - so in der Pflegeversicherung. Mathematisch: stetige gegen unstetige Funktion.</t>
        </is>
      </c>
      <c r="D20" s="9" t="inlineStr">
        <is>
          <t>226 Abs. 2 SGB V</t>
        </is>
      </c>
    </row>
    <row r="21" ht="39" customHeight="1">
      <c r="B21" s="7" t="inlineStr">
        <is>
          <t>Entgeltpunkt</t>
        </is>
      </c>
      <c r="C21" s="8" t="inlineStr">
        <is>
          <t>Beitragspflichtiges Entgelt geteilt durch das Durchschnittsentgelt aller Versicherten (2026: 51.944 EUR). Ein Punkt ergibt seit Juli 2026 eine Monatsrente von 42,52 EUR. Entgeltumwandlung senkt das beitragspflichtige Entgelt und damit die Punkte - aber nur unterhalb der BBG.</t>
        </is>
      </c>
      <c r="D21" s="9" t="inlineStr">
        <is>
          <t>63, 70 SGB VI</t>
        </is>
      </c>
    </row>
    <row r="22" ht="28" customHeight="1">
      <c r="B22" s="7" t="inlineStr">
        <is>
          <t>Besteuerungsanteil</t>
        </is>
      </c>
      <c r="C22" s="8" t="inlineStr">
        <is>
          <t>Anteil der gesetzlichen Rente, der steuerpflichtig ist. Haengt vom Jahr des Rentenbeginns ab: 82,5 % fuer die Kohorte 2023, danach +0,5 Prozentpunkte pro Jahr bis 100 % ab 2058.</t>
        </is>
      </c>
      <c r="D22" s="9" t="inlineStr">
        <is>
          <t>22 Nr. 1 S. 3 Buchst. a Doppelbuchst. aa EStG</t>
        </is>
      </c>
    </row>
    <row r="23">
      <c r="B23" s="5" t="inlineStr">
        <is>
          <t>Betriebliche Altersvorsorge</t>
        </is>
      </c>
      <c r="C23" s="6" t="n"/>
      <c r="D23" s="6" t="n"/>
    </row>
    <row r="24" ht="28" customHeight="1">
      <c r="B24" s="7" t="inlineStr">
        <is>
          <t>Entgeltumwandlung</t>
        </is>
      </c>
      <c r="C24" s="8" t="inlineStr">
        <is>
          <t>Umwandlung kuenftiger Gehaltsansprueche in eine Anwartschaft auf Betriebsrente. Ein Rechtsanspruch besteht nur bis 4 % der BBG-RV; darueber hinaus braucht es die Zustimmung des Arbeitgebers.</t>
        </is>
      </c>
      <c r="D24" s="9" t="inlineStr">
        <is>
          <t>1a BetrAVG</t>
        </is>
      </c>
    </row>
    <row r="25" ht="28" customHeight="1">
      <c r="B25" s="7" t="inlineStr">
        <is>
          <t>Gefoerderte Schicht</t>
        </is>
      </c>
      <c r="C25" s="8" t="inlineStr">
        <is>
          <t>Der Teil der Beitraege bis 8 % der BBG-RV (2026: 8.112 EUR). Steuerfrei beim Einzahlen, dafuer die Leistung spaeter zu 100 % steuerpflichtig.</t>
        </is>
      </c>
      <c r="D25" s="9" t="inlineStr">
        <is>
          <t>3 Nr. 63 EStG</t>
        </is>
      </c>
    </row>
    <row r="26" ht="39" customHeight="1">
      <c r="B26" s="7" t="inlineStr">
        <is>
          <t>Nicht gefoerderte Schicht</t>
        </is>
      </c>
      <c r="C26" s="8" t="inlineStr">
        <is>
          <t>Alles darueber. Fliesst aus versteuertem und verbeitragtem Entgelt in den Vertrag. Deshalb ist die Leistung spaeter NICHT voll steuerpflichtig, sondern nur mit dem halben Unterschiedsbetrag (Kapital) bzw. dem Ertragsanteil (Rente). Die KV-Pflicht trifft sie trotzdem in voller Hoehe.</t>
        </is>
      </c>
      <c r="D26" s="9" t="inlineStr">
        <is>
          <t>22 Nr. 5 S. 2 EStG</t>
        </is>
      </c>
    </row>
    <row r="27" ht="28" customHeight="1">
      <c r="B27" s="7" t="inlineStr">
        <is>
          <t>Unterschiedsbetrag</t>
        </is>
      </c>
      <c r="C27" s="8" t="inlineStr">
        <is>
          <t>Auszahlung minus eingezahlte Beitraege, also der reine Wertzuwachs. Bei Vertragsdauer ueber zwoelf Jahren und Auszahlung nach dem 62. Lebensjahr ist davon nur die Haelfte steuerpflichtig.</t>
        </is>
      </c>
      <c r="D27" s="9" t="inlineStr">
        <is>
          <t>20 Abs. 1 Nr. 6 S. 2 EStG</t>
        </is>
      </c>
    </row>
    <row r="28" ht="28" customHeight="1">
      <c r="B28" s="7" t="inlineStr">
        <is>
          <t>Ertragsanteil</t>
        </is>
      </c>
      <c r="C28" s="8" t="inlineStr">
        <is>
          <t>Pauschal unterstellter Zinsanteil einer Leibrente aus nicht gefoerdertem Kapital, abhaengig vom Alter bei Rentenbeginn (bei 67: 17 %). Nur dieser Anteil wird besteuert.</t>
        </is>
      </c>
      <c r="D28" s="9" t="inlineStr">
        <is>
          <t>22 Nr. 1 S. 3 Buchst. a Doppelbuchst. bb EStG</t>
        </is>
      </c>
    </row>
    <row r="29" ht="52" customHeight="1">
      <c r="B29" s="7" t="inlineStr">
        <is>
          <t>Rentenfaktor</t>
        </is>
      </c>
      <c r="C29" s="8" t="inlineStr">
        <is>
          <t>Monatliche Rente je 10.000 EUR Kapital. Ein Faktor von 26 entspricht etwa 3,1 % Entnahmequote pro Jahr - der Versicherer kalkuliert fuer ein sehr hohes Endalter. Eine Leibrente ist primaer eine Versicherung gegen Langlebigkeit, kein Renditeprodukt; im Barwertvergleich ueber einen festen Horizont kann sie deshalb nur verlieren.</t>
        </is>
      </c>
      <c r="D29" s="9" t="inlineStr">
        <is>
          <t>Vertragsbedingung</t>
        </is>
      </c>
    </row>
    <row r="30">
      <c r="B30" s="5" t="inlineStr">
        <is>
          <t>Gefoerderte private Altersvorsorge (Altersvorsorgedepot)</t>
        </is>
      </c>
      <c r="C30" s="6" t="n"/>
      <c r="D30" s="6" t="n"/>
    </row>
    <row r="31" ht="39" customHeight="1">
      <c r="B31" s="7" t="inlineStr">
        <is>
          <t>Zulage</t>
        </is>
      </c>
      <c r="C31" s="8" t="inlineStr">
        <is>
          <t>Direkter staatlicher Zuschuss: 50 Cent je Euro bis 360 EUR Eigenbeitrag, 25 Cent je Euro bis 1.800 EUR, also hoechstens 540 EUR Grundzulage. Zusaetzlich 1 Euro je Euro bis 300 EUR je Kind, solange Kindergeld zusteht.</t>
        </is>
      </c>
      <c r="D31" s="9" t="inlineStr">
        <is>
          <t>Abschnitt XI EStG i.d.F. des Altersvorsorgereformgesetzes</t>
        </is>
      </c>
    </row>
    <row r="32" ht="28" customHeight="1">
      <c r="B32" s="7" t="inlineStr">
        <is>
          <t>Sonderausgabenabzug</t>
        </is>
      </c>
      <c r="C32" s="8" t="inlineStr">
        <is>
          <t>Alternative Foerderung: Eigenbeitraege bis 1.800 EUR zuzueglich Zulagen mindern das zvE.</t>
        </is>
      </c>
      <c r="D32" s="9" t="inlineStr">
        <is>
          <t>10a Abs. 1 EStG</t>
        </is>
      </c>
    </row>
    <row r="33" ht="65" customHeight="1">
      <c r="B33" s="7" t="inlineStr">
        <is>
          <t>Guenstigerpruefung</t>
        </is>
      </c>
      <c r="C33" s="8" t="inlineStr">
        <is>
          <t>Die Gesamtfoerderung ist das MAXIMUM aus Zulagenanspruch und Steuervorteil des Sonderausgabenabzugs, nicht deren Summe: F = max(Zulage, Steuervorteil). Solange der Steuervorteil groesser ist, erhoeht eine zusaetzliche Zulage die Foerderung um exakt null - sie wird vollstaendig angerechnet. Deshalb kann ein einzelnes Kind das Ergebnis sogar minimal verschlechtern, waehrend zwei Kinder es deutlich verbessern.</t>
        </is>
      </c>
      <c r="D33" s="9" t="inlineStr">
        <is>
          <t>10a Abs. 2 EStG</t>
        </is>
      </c>
    </row>
    <row r="34" ht="28" customHeight="1">
      <c r="B34" s="7" t="inlineStr">
        <is>
          <t>Standarddepot</t>
        </is>
      </c>
      <c r="C34" s="8" t="inlineStr">
        <is>
          <t>Kostenreguliertes Standardprodukt, das jeder Anbieter fuehren muss. Die Effektivkosten sind auf 1,0 % p.a. begrenzt.</t>
        </is>
      </c>
      <c r="D34" s="9" t="inlineStr">
        <is>
          <t>Altersvorsorgereformgesetz</t>
        </is>
      </c>
    </row>
    <row r="35">
      <c r="B35" s="5" t="inlineStr">
        <is>
          <t>Privates Depot</t>
        </is>
      </c>
      <c r="C35" s="6" t="n"/>
      <c r="D35" s="6" t="n"/>
    </row>
    <row r="36" ht="65" customHeight="1">
      <c r="B36" s="7" t="inlineStr">
        <is>
          <t>Vorabpauschale</t>
        </is>
      </c>
      <c r="C36" s="8" t="inlineStr">
        <is>
          <t>Jaehrliche Vorwegbesteuerung thesaurierender Fonds. Bemessungsgrundlage ist der Basisertrag = Wert am Jahresanfang x Basiszins x 70 %, gedeckelt auf den tatsaechlichen Wertzuwachs. Basiszins 2026: 3,20 %. Bereits versteuerte Vorabpauschalen erhoehen die Anschaffungskosten und mindern spaeter den zu versteuernden Veraeusserungsgewinn - der Effekt ist also primaer ein Liquiditaets- und Zinseszinsnachteil.</t>
        </is>
      </c>
      <c r="D36" s="9" t="inlineStr">
        <is>
          <t>18 InvStG</t>
        </is>
      </c>
    </row>
    <row r="37" ht="28" customHeight="1">
      <c r="B37" s="7" t="inlineStr">
        <is>
          <t>Teilfreistellung</t>
        </is>
      </c>
      <c r="C37" s="8" t="inlineStr">
        <is>
          <t>Bei Aktienfonds mit einer Aktienquote ueber 50 % bleiben 30 % der Ertraege im Privatvermoegen steuerfrei. Effektive Belastung damit rund 18,5 % statt 26,375 %.</t>
        </is>
      </c>
      <c r="D37" s="9" t="inlineStr">
        <is>
          <t>20 InvStG</t>
        </is>
      </c>
    </row>
    <row r="38" ht="52" customHeight="1">
      <c r="B38" s="7" t="inlineStr">
        <is>
          <t>Abgeltungsteuer</t>
        </is>
      </c>
      <c r="C38" s="8" t="inlineStr">
        <is>
          <t>25 % zuzueglich Solidaritaetszuschlag und gegebenenfalls Kirchensteuer. Effektiv 26,375 % ohne bzw. rund 27,8 bis 28,0 % mit Kirchensteuer. Anders als bei der nachgelagerten Besteuerung ist der Satz vom persoenlichen Grenzsteuersatz unabhaengig - der grosse Vorteil des freien Depots bei hohen Einkommen.</t>
        </is>
      </c>
      <c r="D38" s="9" t="inlineStr">
        <is>
          <t>32d, 43a EStG</t>
        </is>
      </c>
    </row>
    <row r="39" ht="28" customHeight="1">
      <c r="B39" s="7" t="inlineStr">
        <is>
          <t>Sparer-Pauschbetrag</t>
        </is>
      </c>
      <c r="C39" s="8" t="inlineStr">
        <is>
          <t>1.000 EUR je Person und Jahr steuerfreier Kapitalertrag, bei Zusammenveranlagung 2.000 EUR.</t>
        </is>
      </c>
      <c r="D39" s="9" t="inlineStr">
        <is>
          <t>20 Abs. 9 EStG</t>
        </is>
      </c>
    </row>
    <row r="40">
      <c r="B40" s="5" t="inlineStr">
        <is>
          <t>Auswertung</t>
        </is>
      </c>
      <c r="C40" s="6" t="n"/>
      <c r="D40" s="6" t="n"/>
    </row>
    <row r="41" ht="28" customHeight="1">
      <c r="B41" s="7" t="inlineStr">
        <is>
          <t>Barwert</t>
        </is>
      </c>
      <c r="C41" s="8" t="inlineStr">
        <is>
          <t>Auf heute abgezinster Betrag, hier mit der Inflationsrate diskontiert. Damit sind alle Zahlen in Kaufkraft von heute vergleichbar - unerlaesslich, wenn Zahlungen 30 bis 50 Jahre auseinanderliegen.</t>
        </is>
      </c>
      <c r="D41" s="9" t="inlineStr"/>
    </row>
    <row r="42" ht="28" customHeight="1">
      <c r="B42" s="7" t="inlineStr">
        <is>
          <t>Netto-Ertrag</t>
        </is>
      </c>
      <c r="C42" s="8" t="inlineStr">
        <is>
          <t>Barwert aller Netto-Auszahlungen minus Barwert des gesamten Nettoaufwands. Die Hauptkennzahl: was eine Option ueber den eigenen Einsatz hinaus abwirft.</t>
        </is>
      </c>
      <c r="D42" s="9" t="inlineStr">
        <is>
          <t>Zeile 15 im Blatt 'Vergleich'</t>
        </is>
      </c>
    </row>
    <row r="43" ht="39" customHeight="1">
      <c r="B43" s="7" t="inlineStr">
        <is>
          <t>Interner Zinsfuss (IRR)</t>
        </is>
      </c>
      <c r="C43" s="8" t="inlineStr">
        <is>
          <t>Der Zinssatz, bei dem der Kapitalwert aller Zahlungsstroeme null wird, also die Nullstelle des Polynoms Summe CF_t / (1+i)^t. Direkt mit der angenommenen Bruttorendite des ETF vergleichbar: liegt der IRR darunter, frisst die Foerderarchitektur mehr als sie bringt.</t>
        </is>
      </c>
      <c r="D43" s="9" t="inlineStr">
        <is>
          <t>Blatt 'Cashflow'</t>
        </is>
      </c>
    </row>
    <row r="44" ht="28" customHeight="1">
      <c r="B44" s="7" t="inlineStr">
        <is>
          <t>Annuitaetenfaktor</t>
        </is>
      </c>
      <c r="C44" s="8" t="inlineStr">
        <is>
          <t>Faktor, der ein Kapital in eine konstante nominale Jahresentnahme ueber n Jahre umrechnet: a = r / (1 - (1+r)^-n). Wird fuer die Auszahlungsplaene von Altersvorsorgedepot und Privatdepot benutzt.</t>
        </is>
      </c>
      <c r="D44" s="9" t="inlineStr">
        <is>
          <t>Modellkonvention</t>
        </is>
      </c>
    </row>
    <row r="45" ht="39" customHeight="1">
      <c r="B45" s="7" t="inlineStr">
        <is>
          <t>Sleeve</t>
        </is>
      </c>
      <c r="C45" s="8" t="inlineStr">
        <is>
          <t>Hilfsbegriff des Modells: der Teil des Nettoaufwands, der den jaehrlichen Hoechstbetrag des Altersvorsorgevertrags von 6.840 EUR uebersteigt. Er wird in ein normales Depot geleitet und wie Option 3 besteuert, damit alle drei Optionen exakt denselben Nettoaufwand haben.</t>
        </is>
      </c>
      <c r="D45" s="9" t="inlineStr">
        <is>
          <t>Modellkonvention</t>
        </is>
      </c>
    </row>
    <row r="46" ht="39" customHeight="1">
      <c r="B46" s="7" t="inlineStr">
        <is>
          <t>Vergleichshorizont</t>
        </is>
      </c>
      <c r="C46" s="8" t="inlineStr">
        <is>
          <t>Alter, bis zu dem gerechnet wird (Default 85). Auszahlungsplaene enden hier. Eine lebenslange bAV-Rente zahlt darueber hinaus; dieser Betrag steht als Memo-Zeile im Blatt 'Vergleich' und geht NICHT in den Vergleich ein.</t>
        </is>
      </c>
      <c r="D46" s="9" t="inlineStr">
        <is>
          <t>Eingabe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1:E67"/>
  <sheetViews>
    <sheetView showGridLines="0" workbookViewId="0">
      <selection activeCell="A1" sqref="A1"/>
    </sheetView>
  </sheetViews>
  <sheetFormatPr baseColWidth="8" defaultRowHeight="15"/>
  <cols>
    <col width="3" customWidth="1" min="1" max="1"/>
    <col width="52" customWidth="1" min="2" max="2"/>
    <col width="14" customWidth="1" min="3" max="3"/>
    <col width="10" customWidth="1" min="4" max="4"/>
    <col width="78" customWidth="1" min="5" max="5"/>
  </cols>
  <sheetData>
    <row r="1">
      <c r="B1" s="1" t="inlineStr">
        <is>
          <t>Eingaben - bAV (DYNO) vs. Altersvorsorgedepot vs. privates ETF-Depot</t>
        </is>
      </c>
    </row>
    <row r="2">
      <c r="B2" s="10" t="inlineStr">
        <is>
          <t>Nur die GELB hinterlegten Zellen (blaue Schrift) aendern. Alles andere ist Formel.</t>
        </is>
      </c>
    </row>
    <row r="4">
      <c r="B4" s="5" t="inlineStr">
        <is>
          <t>PERSON UND ZEITACHSE</t>
        </is>
      </c>
      <c r="C4" s="6" t="n"/>
      <c r="D4" s="6" t="n"/>
    </row>
    <row r="5">
      <c r="B5" s="3" t="inlineStr">
        <is>
          <t>Alter heute (vollendete Jahre)</t>
        </is>
      </c>
      <c r="C5" s="11" t="n">
        <v>40</v>
      </c>
      <c r="D5" s="12" t="inlineStr">
        <is>
          <t>Jahre</t>
        </is>
      </c>
      <c r="E5" s="13" t="inlineStr">
        <is>
          <t>Startpunkt der Ansparphase; Kalenderjahr 0 = 2026.</t>
        </is>
      </c>
    </row>
    <row r="6">
      <c r="B6" s="3" t="inlineStr">
        <is>
          <t>Auszahlungsbeginn (Alter)</t>
        </is>
      </c>
      <c r="C6" s="11" t="n">
        <v>67</v>
      </c>
      <c r="D6" s="12" t="inlineStr">
        <is>
          <t>Jahre</t>
        </is>
      </c>
      <c r="E6" s="13" t="inlineStr">
        <is>
          <t>Beginn Auszahlungsphase aller drei Optionen. Altersvorsorgedepot: fruehestens 65 (Reform 2026).</t>
        </is>
      </c>
    </row>
    <row r="7">
      <c r="B7" s="3" t="inlineStr">
        <is>
          <t>Ende Auszahlungsplan / Vergleichshorizont (Alter)</t>
        </is>
      </c>
      <c r="C7" s="11" t="n">
        <v>85</v>
      </c>
      <c r="D7" s="12" t="inlineStr">
        <is>
          <t>Jahre</t>
        </is>
      </c>
      <c r="E7" s="13" t="inlineStr">
        <is>
          <t>Auszahlungsplaene laufen bis hierhin. Lebenslange Renten werden ueber denselben Horizont verglichen (Memo-Zeile fuer den Rest).</t>
        </is>
      </c>
    </row>
    <row r="8">
      <c r="B8" s="3" t="inlineStr">
        <is>
          <t>Ausscheiden aus dem Job / Vorruhestand (Alter)</t>
        </is>
      </c>
      <c r="C8" s="11" t="n">
        <v>63</v>
      </c>
      <c r="D8" s="12" t="inlineStr">
        <is>
          <t>Jahre</t>
        </is>
      </c>
      <c r="E8" s="13" t="inlineStr">
        <is>
          <t>Ab hier kein Gehalt, keine Beitraege mehr. Kapital verzinst sich weiter bis zum Auszahlungsbeginn.</t>
        </is>
      </c>
    </row>
    <row r="9">
      <c r="B9" s="3" t="inlineStr">
        <is>
          <t>Teilzeit ab Alter</t>
        </is>
      </c>
      <c r="C9" s="11" t="n">
        <v>55</v>
      </c>
      <c r="D9" s="12" t="inlineStr">
        <is>
          <t>Jahre</t>
        </is>
      </c>
      <c r="E9" s="13" t="inlineStr">
        <is>
          <t>Auf 999 setzen, wenn keine Teilzeit geplant ist.</t>
        </is>
      </c>
    </row>
    <row r="10">
      <c r="B10" s="3" t="inlineStr">
        <is>
          <t>Teilzeitfaktor (Anteil des Vollzeitgehalts)</t>
        </is>
      </c>
      <c r="C10" s="14" t="n">
        <v>0.6</v>
      </c>
      <c r="D10" s="12" t="inlineStr"/>
      <c r="E10" s="13" t="inlineStr">
        <is>
          <t>0,60 = 60 %-Stelle.</t>
        </is>
      </c>
    </row>
    <row r="11">
      <c r="B11" s="5" t="inlineStr">
        <is>
          <t>EINKOMMEN UND STEUER</t>
        </is>
      </c>
      <c r="C11" s="6" t="n"/>
      <c r="D11" s="6" t="n"/>
    </row>
    <row r="12">
      <c r="B12" s="3" t="inlineStr">
        <is>
          <t>Jahresbruttogehalt heute</t>
        </is>
      </c>
      <c r="C12" s="15" t="n">
        <v>75000</v>
      </c>
      <c r="D12" s="12" t="inlineStr">
        <is>
          <t>EUR</t>
        </is>
      </c>
      <c r="E12" s="13" t="inlineStr">
        <is>
          <t>Ohne Einmalzahlungen; ggf. inkl. anteiligem 13. Gehalt.</t>
        </is>
      </c>
    </row>
    <row r="13">
      <c r="B13" s="3" t="inlineStr">
        <is>
          <t>Gehalts- und Lohnsteigerung p.a.</t>
        </is>
      </c>
      <c r="C13" s="16" t="n">
        <v>0.025</v>
      </c>
      <c r="D13" s="12" t="inlineStr"/>
      <c r="E13" s="13" t="inlineStr">
        <is>
          <t>Wird auch zur Fortschreibung von BBG, Bezugsgroesse, Durchschnittsentgelt und Rentenwert benutzt.</t>
        </is>
      </c>
    </row>
    <row r="14">
      <c r="B14" s="3" t="inlineStr">
        <is>
          <t>Veranlagung: 1 = einzeln (Stkl. 1), 3 = zusammen (Stkl. 3)</t>
        </is>
      </c>
      <c r="C14" s="11" t="n">
        <v>1</v>
      </c>
      <c r="D14" s="12" t="inlineStr">
        <is>
          <t>1/3</t>
        </is>
      </c>
      <c r="E14" s="13" t="inlineStr">
        <is>
          <t>Massgeblich ist die VERANLAGUNGSART, nicht die Lohnsteuerklasse: die Klasse steuert nur den unterjaehrigen Abzug, der Jahresbescheid rechnet ohnehin mit Splitting. 3 = Splittingtarif nach 32a Abs. 5 EStG; dann unbedingt das zvE des Partners eintragen.</t>
        </is>
      </c>
    </row>
    <row r="15">
      <c r="B15" s="3" t="inlineStr">
        <is>
          <t>zu versteuerndes Einkommen des Partners (nur Stkl. 3)</t>
        </is>
      </c>
      <c r="C15" s="11" t="n">
        <v>0</v>
      </c>
      <c r="D15" s="12" t="inlineStr">
        <is>
          <t>EUR</t>
        </is>
      </c>
      <c r="E15" s="13" t="inlineStr">
        <is>
          <t>Bei Stkl. 3 wird der Splittingtarif nach 32a Abs. 5 EStG gerechnet: 2 x ESt((zvE + zvE_Partner)/2).</t>
        </is>
      </c>
    </row>
    <row r="16">
      <c r="B16" s="3" t="inlineStr">
        <is>
          <t>Kirchensteuersatz (0 / 0,08 / 0,09)</t>
        </is>
      </c>
      <c r="C16" s="16" t="n">
        <v>0</v>
      </c>
      <c r="D16" s="12" t="inlineStr"/>
      <c r="E16" s="13" t="inlineStr">
        <is>
          <t>8 % in BY und BW, sonst 9 %.</t>
        </is>
      </c>
    </row>
    <row r="17">
      <c r="B17" s="3" t="inlineStr">
        <is>
          <t>Anpassung der Tarifeckwerte p.a. (kalte Progression)</t>
        </is>
      </c>
      <c r="C17" s="16" t="n">
        <v>0.02</v>
      </c>
      <c r="D17" s="12" t="inlineStr"/>
      <c r="E17" s="13" t="inlineStr">
        <is>
          <t>Der ganze Tarif wird mit diesem Faktor gestreckt. 0 % = volle kalte Progression.</t>
        </is>
      </c>
    </row>
    <row r="18">
      <c r="B18" s="3" t="inlineStr">
        <is>
          <t>Anzahl Kinder (fuer Kinderzulage)</t>
        </is>
      </c>
      <c r="C18" s="11" t="n">
        <v>0</v>
      </c>
      <c r="D18" s="12" t="inlineStr"/>
      <c r="E18" s="13" t="inlineStr">
        <is>
          <t>Kinderzulage im Altersvorsorgedepot: 1 EUR je eingezahltem EUR bis 300 EUR je Kind.</t>
        </is>
      </c>
    </row>
    <row r="19">
      <c r="B19" s="3" t="inlineStr">
        <is>
          <t>Jahre, in denen noch Kinderzulage zusteht</t>
        </is>
      </c>
      <c r="C19" s="11" t="n">
        <v>18</v>
      </c>
      <c r="D19" s="12" t="inlineStr">
        <is>
          <t>Jahre</t>
        </is>
      </c>
      <c r="E19" s="13" t="inlineStr">
        <is>
          <t>Die Kinderzulage ist an den Kindergeldanspruch gekoppelt ( 85 EStG), laeuft also nicht ueber die gesamte Ansparphase. Auf 0 setzen, wenn kein Anspruch mehr besteht.</t>
        </is>
      </c>
    </row>
    <row r="20">
      <c r="B20" s="3" t="inlineStr">
        <is>
          <t>Kinderlos (Zuschlag Pflegeversicherung)? 1 = ja</t>
        </is>
      </c>
      <c r="C20" s="11" t="n">
        <v>0</v>
      </c>
      <c r="D20" s="12" t="inlineStr">
        <is>
          <t>1/0</t>
        </is>
      </c>
      <c r="E20" s="13" t="inlineStr">
        <is>
          <t>0,6 Prozentpunkte Zuschlag, allein vom Arbeitnehmer zu tragen ( 55 Abs. 3 SGB XI).</t>
        </is>
      </c>
    </row>
    <row r="21">
      <c r="B21" s="5" t="inlineStr">
        <is>
          <t>BETRIEBLICHE ALTERSVORSORGE (DYNO)</t>
        </is>
      </c>
      <c r="C21" s="6" t="n"/>
      <c r="D21" s="6" t="n"/>
    </row>
    <row r="22">
      <c r="B22" s="3" t="inlineStr">
        <is>
          <t>Vorgabe: 1 = Bruttobeitrag, 2 = Nettoaufwand</t>
        </is>
      </c>
      <c r="C22" s="11" t="n">
        <v>1</v>
      </c>
      <c r="D22" s="12" t="inlineStr">
        <is>
          <t>1/2</t>
        </is>
      </c>
      <c r="E22" s="13" t="inlineStr">
        <is>
          <t>Bei 2 wird der Bruttobeitrag so bestimmt, dass der gewuenschte Nettoaufwand herauskommt (Bisektion im Blatt 'Umrechnung'). Der Nettoaufwand ist der tatsaechlich aufgegebene Konsum und damit die oekonomisch richtige Entscheidungsvariable.</t>
        </is>
      </c>
    </row>
    <row r="23">
      <c r="B23" s="3" t="inlineStr">
        <is>
          <t>Monatsbeitrag bAV brutto (nur bei Modus 1)</t>
        </is>
      </c>
      <c r="C23" s="11" t="n">
        <v>300</v>
      </c>
      <c r="D23" s="12" t="inlineStr">
        <is>
          <t>EUR</t>
        </is>
      </c>
      <c r="E23" s="13" t="inlineStr">
        <is>
          <t>Bruttoentgeltumwandlung nach 1a BetrAVG.</t>
        </is>
      </c>
    </row>
    <row r="24">
      <c r="B24" s="3" t="inlineStr">
        <is>
          <t>Monatlicher Nettoaufwand (nur bei Modus 2)</t>
        </is>
      </c>
      <c r="C24" s="11" t="n">
        <v>165</v>
      </c>
      <c r="D24" s="12" t="inlineStr">
        <is>
          <t>EUR</t>
        </is>
      </c>
      <c r="E24" s="13" t="inlineStr">
        <is>
          <t>Der Betrag, um den Ihr verfuegbares Einkommen im ersten Jahr sinkt. Danach wird der Bruttobeitrag nach der Dynamisierungsregel fortgeschrieben.</t>
        </is>
      </c>
    </row>
    <row r="25">
      <c r="B25" s="3" t="inlineStr">
        <is>
          <t>Beitrag mit dem Gehalt dynamisieren? 1 = ja</t>
        </is>
      </c>
      <c r="C25" s="11" t="n">
        <v>1</v>
      </c>
      <c r="D25" s="12" t="inlineStr">
        <is>
          <t>1/0</t>
        </is>
      </c>
      <c r="E25" s="13" t="inlineStr">
        <is>
          <t>1 = Beitrag steigt mit der Gehaltssteigerung, 0 = nominal konstant.</t>
        </is>
      </c>
    </row>
    <row r="26">
      <c r="B26" s="3" t="inlineStr">
        <is>
          <t>Arbeitgeberzuschuss (Anteil des Beitrags)</t>
        </is>
      </c>
      <c r="C26" s="16" t="n">
        <v>0.15</v>
      </c>
      <c r="D26" s="12" t="inlineStr"/>
      <c r="E26" s="13" t="inlineStr">
        <is>
          <t>Gesetzliches Minimum 15 % ( 1a Abs. 1a BetrAVG). DYNO-Arbeitgeber zahlen oft mehr - hier eintragen, was im Vertrag steht.</t>
        </is>
      </c>
    </row>
    <row r="27">
      <c r="B27" s="3" t="inlineStr">
        <is>
          <t>Fester AG-Zuschuss zusaetzlich (EUR je Monat)</t>
        </is>
      </c>
      <c r="C27" s="11" t="n">
        <v>0</v>
      </c>
      <c r="D27" s="12" t="inlineStr">
        <is>
          <t>EUR</t>
        </is>
      </c>
      <c r="E27" s="13" t="inlineStr">
        <is>
          <t>Betragsunabhaengiger Festzuschuss aus Tarifvertrag oder Betriebsvereinbarung - bei der Deutschen Bahn und in vielen Tarifwerken ueblich, dort ZUSAETZLICH zu den 15 % nach  1a Abs. 1a BetrAVG. Er ist arbeitgeberfinanzierte Zuwendung nach  3 Nr. 63 EStG und belegt den 8-%-Topf sowie die 4-%-Beitragsfreiheit ( 1 Abs. 1 S. 1 Nr. 9 SvEV) VORRANGIG; die eigene Entgeltumwandlung wird insoweit verdraengt und teurer.</t>
        </is>
      </c>
    </row>
    <row r="28">
      <c r="B28" s="3" t="inlineStr">
        <is>
          <t>Festen Zuschuss dynamisieren? 1 = ja</t>
        </is>
      </c>
      <c r="C28" s="11" t="n">
        <v>0</v>
      </c>
      <c r="D28" s="12" t="inlineStr">
        <is>
          <t>1/0</t>
        </is>
      </c>
      <c r="E28" s="13" t="inlineStr">
        <is>
          <t>0 = nominal konstant (Voreinstellung: Festbetraege stehen meist nominal im Tarifvertrag), 1 = steigt mit der Gehalts- bzw. Tarifsteigerung.</t>
        </is>
      </c>
    </row>
    <row r="29">
      <c r="B29" s="3" t="inlineStr">
        <is>
          <t>Mindest-Eigenbeitrag fuer den festen Zuschuss (EUR/Monat)</t>
        </is>
      </c>
      <c r="C29" s="11" t="n">
        <v>0</v>
      </c>
      <c r="D29" s="12" t="inlineStr">
        <is>
          <t>EUR</t>
        </is>
      </c>
      <c r="E29" s="13" t="inlineStr">
        <is>
          <t>Matching-Modelle knuepfen den Festbetrag an eine Mindest-Eigenleistung. 0 = bedingungslos; dann fliesst er in jedem aktiven Jahr, auch bei Beitrag null. Vorsicht: ein wirklich bedingungsloser Zuschuss ist kein Differenzeffekt der Umwandlungsentscheidung und verzerrt den Vergleich zugunsten der bAV.</t>
        </is>
      </c>
    </row>
    <row r="30">
      <c r="B30" s="3" t="inlineStr">
        <is>
          <t>Zuschussmodus: 0 = voller Beitrag, 1 = sv-freier Anteil, 2 = spitz</t>
        </is>
      </c>
      <c r="C30" s="11" t="n">
        <v>2</v>
      </c>
      <c r="D30" s="12" t="inlineStr">
        <is>
          <t>0/1/2</t>
        </is>
      </c>
      <c r="E30" s="13" t="inlineStr">
        <is>
          <t>Gilt nur fuer den prozentualen Zuschuss; der feste Zuschuss oben ist davon unberuehrt. 2 ist der Gesetzeswortlaut: 1a Abs. 1a BetrAVG schuldet den Zuschuss nur, SOWEIT der Arbeitgeber tatsaechlich Sozialversicherungsbeitraege spart. Liegt Ihr Entgelt ueber beiden Beitragsbemessungsgrenzen, spart er nichts - und schuldet nichts. 1 ist die verbreitete pauschale Praxis, 0 eine freiwillige oder tarifvertragliche Zusage.</t>
        </is>
      </c>
    </row>
    <row r="31">
      <c r="B31" s="3" t="inlineStr">
        <is>
          <t>bAV-Auszahlung: 1 = Kapital, 2 = lebenslange Rente</t>
        </is>
      </c>
      <c r="C31" s="11" t="n">
        <v>1</v>
      </c>
      <c r="D31" s="12" t="inlineStr">
        <is>
          <t>1/2</t>
        </is>
      </c>
      <c r="E31" s="13" t="inlineStr">
        <is>
          <t>Kapital: voll steuerpflichtig im Zuflussjahr, KV/PV auf 120 Monate verteilt ( 229 Abs. 1 S. 3 SGB V).</t>
        </is>
      </c>
    </row>
    <row r="32">
      <c r="B32" s="3" t="inlineStr">
        <is>
          <t>Rentenfaktor bAV (EUR Monatsrente je 10.000 EUR)</t>
        </is>
      </c>
      <c r="C32" s="11" t="n">
        <v>26</v>
      </c>
      <c r="D32" s="12" t="inlineStr">
        <is>
          <t>EUR</t>
        </is>
      </c>
      <c r="E32" s="13" t="inlineStr">
        <is>
          <t>Nur relevant bei Auszahlungsform 2. 26 EUR entspricht ca. 3,1 % Entnahmequote.</t>
        </is>
      </c>
    </row>
    <row r="33">
      <c r="B33" s="3" t="inlineStr">
        <is>
          <t>Dynamik der bAV-Rente p.a.</t>
        </is>
      </c>
      <c r="C33" s="16" t="n">
        <v>0.01</v>
      </c>
      <c r="D33" s="12" t="inlineStr"/>
      <c r="E33" s="13" t="inlineStr">
        <is>
          <t>Ueberschussbeteiligung / Fondsentwicklung in der Rentenphase.</t>
        </is>
      </c>
    </row>
    <row r="34">
      <c r="B34" s="3" t="inlineStr">
        <is>
          <t>Fuenftelregelung auf bAV-Kapital pruefen? 1 = ja</t>
        </is>
      </c>
      <c r="C34" s="11" t="n">
        <v>0</v>
      </c>
      <c r="D34" s="12" t="inlineStr">
        <is>
          <t>1/0</t>
        </is>
      </c>
      <c r="E34" s="13" t="inlineStr">
        <is>
          <t>34 EStG ist bei planmaessiger Kapitalabfindung aus 3 Nr. 63-Vertraegen nach BFH X R 23/15 nur ausnahmsweise anwendbar. Konservativ: 0.</t>
        </is>
      </c>
    </row>
    <row r="35">
      <c r="B35" s="5" t="inlineStr">
        <is>
          <t>KAPITALMARKT UND KOSTEN</t>
        </is>
      </c>
      <c r="C35" s="6" t="n"/>
      <c r="D35" s="6" t="n"/>
    </row>
    <row r="36">
      <c r="B36" s="3" t="inlineStr">
        <is>
          <t>Bruttorendite des ETF p.a. (vor Kosten, vor Steuern)</t>
        </is>
      </c>
      <c r="C36" s="16" t="n">
        <v>0.07000000000000001</v>
      </c>
      <c r="D36" s="12" t="inlineStr"/>
      <c r="E36" s="13" t="inlineStr">
        <is>
          <t>Identischer ETF in allen drei Optionen - so war die Frage gestellt.</t>
        </is>
      </c>
    </row>
    <row r="37">
      <c r="B37" s="3" t="inlineStr">
        <is>
          <t>Kosten bAV-Produkt p.a. (Versicherungsmantel + TER)</t>
        </is>
      </c>
      <c r="C37" s="16" t="n">
        <v>0.006</v>
      </c>
      <c r="D37" s="12" t="inlineStr"/>
      <c r="E37" s="13" t="inlineStr">
        <is>
          <t>DYNO wirbt mit provisionsfrei; realistisch bleiben Verwaltungs- und Mantelkosten. Effektivkosten aus dem Produktinformationsblatt eintragen.</t>
        </is>
      </c>
    </row>
    <row r="38">
      <c r="B38" s="3" t="inlineStr">
        <is>
          <t>Kosten Altersvorsorgedepot p.a.</t>
        </is>
      </c>
      <c r="C38" s="16" t="n">
        <v>0.005</v>
      </c>
      <c r="D38" s="12" t="inlineStr"/>
      <c r="E38" s="13" t="inlineStr">
        <is>
          <t>Standarddepot: Effektivkosten gesetzlich auf 1,0 % p.a. gedeckelt.</t>
        </is>
      </c>
    </row>
    <row r="39">
      <c r="B39" s="3" t="inlineStr">
        <is>
          <t>Kosten privates ETF-Depot p.a.</t>
        </is>
      </c>
      <c r="C39" s="16" t="n">
        <v>0.002</v>
      </c>
      <c r="D39" s="12" t="inlineStr"/>
      <c r="E39" s="13" t="inlineStr">
        <is>
          <t>Reine TER eines breiten Welt-ETF.</t>
        </is>
      </c>
    </row>
    <row r="40">
      <c r="B40" s="3" t="inlineStr">
        <is>
          <t>Inflation p.a. (fuer die reale Darstellung)</t>
        </is>
      </c>
      <c r="C40" s="16" t="n">
        <v>0.02</v>
      </c>
      <c r="D40" s="12" t="inlineStr"/>
      <c r="E40" s="13" t="inlineStr">
        <is>
          <t>Diskontierungssatz fuer die Barwerte in Kaufkraft von heute.</t>
        </is>
      </c>
    </row>
    <row r="41">
      <c r="B41" s="5" t="inlineStr">
        <is>
          <t>RUHESTAND</t>
        </is>
      </c>
      <c r="C41" s="6" t="n"/>
      <c r="D41" s="6" t="n"/>
    </row>
    <row r="42">
      <c r="B42" s="3" t="inlineStr">
        <is>
          <t>Krankenversicherung im Ruhestand: 1 = GKV, 2 = PKV</t>
        </is>
      </c>
      <c r="C42" s="11" t="n">
        <v>1</v>
      </c>
      <c r="D42" s="12" t="inlineStr">
        <is>
          <t>1/2</t>
        </is>
      </c>
      <c r="E42" s="13" t="inlineStr">
        <is>
          <t>Entscheidender Hebel: in der GKV sind Versorgungsbezuege mit dem vollen Beitragssatz belegt, private Altersvorsorge nicht.</t>
        </is>
      </c>
    </row>
    <row r="43">
      <c r="B43" s="3" t="inlineStr">
        <is>
          <t>sonstiges zu versteuerndes Einkommen im Ruhestand</t>
        </is>
      </c>
      <c r="C43" s="15" t="n">
        <v>22000</v>
      </c>
      <c r="D43" s="12" t="inlineStr">
        <is>
          <t>EUR</t>
        </is>
      </c>
      <c r="E43" s="13" t="inlineStr">
        <is>
          <t>Vor allem der steuerpflichtige Teil der gesetzlichen Rente, ohne die hier verglichenen Produkte. Bestimmt den Grenzsteuersatz in der Auszahlungsphase.</t>
        </is>
      </c>
    </row>
    <row r="44">
      <c r="B44" s="3" t="inlineStr">
        <is>
          <t>gesetzliche Bruttorente p.a. (heutige Werte)</t>
        </is>
      </c>
      <c r="C44" s="15" t="n">
        <v>24000</v>
      </c>
      <c r="D44" s="12" t="inlineStr">
        <is>
          <t>EUR</t>
        </is>
      </c>
      <c r="E44" s="13" t="inlineStr">
        <is>
          <t>Nur fuer den Beitragsbemessungsgrenzen-Deckel in der KV: Rente und Versorgungsbezuege teilen sich EINE Obergrenze ( 223 Abs. 3 SGB V).</t>
        </is>
      </c>
    </row>
    <row r="45">
      <c r="B45" s="3" t="inlineStr">
        <is>
          <t>Altersvorsorgedepot: Teilkapital zu Beginn</t>
        </is>
      </c>
      <c r="C45" s="16" t="n">
        <v>0</v>
      </c>
      <c r="D45" s="12" t="inlineStr"/>
      <c r="E45" s="13" t="inlineStr">
        <is>
          <t>Bis 30 % sind zu Beginn der Auszahlungsphase als Einmalbetrag moeglich. Gilt in beiden Auszahlungsformen.</t>
        </is>
      </c>
    </row>
    <row r="46">
      <c r="B46" s="3" t="inlineStr">
        <is>
          <t>Altersvorsorgedepot: 1 = Auszahlungsplan, 2 = lebenslange Rente</t>
        </is>
      </c>
      <c r="C46" s="11" t="n">
        <v>1</v>
      </c>
      <c r="D46" s="12" t="inlineStr">
        <is>
          <t>1/2</t>
        </is>
      </c>
      <c r="E46" s="13" t="inlineStr">
        <is>
          <t>Unabhaengig von der bAV-Auszahlungsform: wer die bAV als Kapital nimmt, kann das Depot trotzdem verrenten. Plan: Entnahme bleibt investiert, Besteuerung der nicht gefoerderten Schicht mit dem halben Unterschiedsbetrag. Rente: Kapital geht an den Versicherer, nicht gefoerderte Schicht nur mit dem Ertragsanteil ( 22 Nr. 5 S. 2 Buchst. a EStG).</t>
        </is>
      </c>
    </row>
    <row r="47">
      <c r="B47" s="3" t="inlineStr">
        <is>
          <t>Rentenfaktor Altersvorsorgedepot (EUR je 10.000 EUR)</t>
        </is>
      </c>
      <c r="C47" s="11" t="n">
        <v>26</v>
      </c>
      <c r="D47" s="12" t="inlineStr">
        <is>
          <t>EUR</t>
        </is>
      </c>
      <c r="E47" s="13" t="inlineStr">
        <is>
          <t>Nur bei Auszahlungsform 2. Voreinstellung wie bei der bAV; ein Depotvertrag kann guenstiger sein als ein Versicherungsmantel - Wert aus dem Angebot eintragen.</t>
        </is>
      </c>
    </row>
    <row r="48">
      <c r="B48" s="3" t="inlineStr">
        <is>
          <t>Dynamik der Altersvorsorgedepot-Rente p.a.</t>
        </is>
      </c>
      <c r="C48" s="16" t="n">
        <v>0.01</v>
      </c>
      <c r="D48" s="12" t="inlineStr"/>
      <c r="E48" s="13" t="inlineStr">
        <is>
          <t>Ueberschussbeteiligung bzw. Fondsentwicklung in der Rentenphase des Depotvertrags.</t>
        </is>
      </c>
    </row>
    <row r="50">
      <c r="B50" s="5" t="inlineStr">
        <is>
          <t>ERGEBNIS AUF EINEN BLICK (Details im Blatt 'Vergleich')</t>
        </is>
      </c>
      <c r="C50" s="6" t="n"/>
    </row>
    <row r="51">
      <c r="B51" s="4" t="inlineStr">
        <is>
          <t>Barwert der Netto-Auszahlungen (in heutiger Kaufkraft)</t>
        </is>
      </c>
      <c r="E51" s="13" t="inlineStr">
        <is>
          <t>Summe aller Leistungen nach Steuern und Sozialabgaben, auf heute abgezinst - noch ohne Abzug des eigenen Einsatzes.</t>
        </is>
      </c>
    </row>
    <row r="52">
      <c r="B52" s="3" t="inlineStr">
        <is>
          <t xml:space="preserve">     bAV mit DYNO</t>
        </is>
      </c>
      <c r="C52" s="17">
        <f>Vergleich!$B$13</f>
        <v/>
      </c>
    </row>
    <row r="53">
      <c r="B53" s="3" t="inlineStr">
        <is>
          <t xml:space="preserve">     Altersvorsorgedepot</t>
        </is>
      </c>
      <c r="C53" s="17">
        <f>Vergleich!$C$13</f>
        <v/>
      </c>
    </row>
    <row r="54">
      <c r="B54" s="3" t="inlineStr">
        <is>
          <t xml:space="preserve">     privates ETF-Depot</t>
        </is>
      </c>
      <c r="C54" s="17">
        <f>Vergleich!$D$13</f>
        <v/>
      </c>
    </row>
    <row r="56">
      <c r="B56" s="4" t="inlineStr">
        <is>
          <t>Barwert des Netto-Ertrags (in heutiger Kaufkraft)</t>
        </is>
      </c>
      <c r="E56" s="13" t="inlineStr">
        <is>
          <t>Dasselbe abzueglich des Barwerts des Nettoaufwands: was die Option ueber den eigenen Einsatz hinaus abwirft.</t>
        </is>
      </c>
    </row>
    <row r="57">
      <c r="B57" s="3" t="inlineStr">
        <is>
          <t xml:space="preserve">     bAV mit DYNO</t>
        </is>
      </c>
      <c r="C57" s="17">
        <f>Vergleich!$B$15</f>
        <v/>
      </c>
    </row>
    <row r="58">
      <c r="B58" s="3" t="inlineStr">
        <is>
          <t xml:space="preserve">     Altersvorsorgedepot</t>
        </is>
      </c>
      <c r="C58" s="17">
        <f>Vergleich!$C$15</f>
        <v/>
      </c>
    </row>
    <row r="59">
      <c r="B59" s="3" t="inlineStr">
        <is>
          <t xml:space="preserve">     privates ETF-Depot</t>
        </is>
      </c>
      <c r="C59" s="17">
        <f>Vergleich!$D$15</f>
        <v/>
      </c>
    </row>
    <row r="61">
      <c r="B61" s="4" t="inlineStr">
        <is>
          <t>Aequivalente Monatsleistung (in heutiger Kaufkraft)</t>
        </is>
      </c>
      <c r="E61" s="13" t="inlineStr">
        <is>
          <t>Konstante Monatszahlung ueber die Auszahlungsphase mit demselben Wert - vergleichbar mit Ihrem heutigen Nettoeinkommen.</t>
        </is>
      </c>
    </row>
    <row r="62">
      <c r="B62" s="3" t="inlineStr">
        <is>
          <t xml:space="preserve">     bAV mit DYNO</t>
        </is>
      </c>
      <c r="C62" s="18">
        <f>Vergleich!$B$47</f>
        <v/>
      </c>
    </row>
    <row r="63">
      <c r="B63" s="3" t="inlineStr">
        <is>
          <t xml:space="preserve">     Altersvorsorgedepot</t>
        </is>
      </c>
      <c r="C63" s="18">
        <f>Vergleich!$C$47</f>
        <v/>
      </c>
    </row>
    <row r="64">
      <c r="B64" s="3" t="inlineStr">
        <is>
          <t xml:space="preserve">     privates ETF-Depot</t>
        </is>
      </c>
      <c r="C64" s="18">
        <f>Vergleich!$D$47</f>
        <v/>
      </c>
    </row>
    <row r="66">
      <c r="B66" s="19" t="inlineStr">
        <is>
          <t>Abgeleitet: Bruttobeitrag pro Monat</t>
        </is>
      </c>
      <c r="C66" s="20">
        <f>IF(Eingaben!$C$22=2,Umrechnung!$C$54,Eingaben!$C$23)</f>
        <v/>
      </c>
      <c r="E66" s="13" t="inlineStr">
        <is>
          <t>Bei Modus 2 aus dem Nettoaufwand zurueckgerechnet, bei Modus 1 Ihre Eingabe.</t>
        </is>
      </c>
    </row>
    <row r="67">
      <c r="B67" s="19" t="inlineStr">
        <is>
          <t>Abgeleitet: Nettoaufwand pro Monat (erstes Jahr)</t>
        </is>
      </c>
      <c r="C67" s="20">
        <f>Ansparphase!$AI$8/12</f>
        <v/>
      </c>
      <c r="E67" s="13" t="inlineStr">
        <is>
          <t>Der tatsaechlich aufgegebene Konsum: Bruttobeitrag minus Steuer- und SV-Ersparnis.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B1:D68"/>
  <sheetViews>
    <sheetView showGridLines="0" workbookViewId="0">
      <selection activeCell="A1" sqref="A1"/>
    </sheetView>
  </sheetViews>
  <sheetFormatPr baseColWidth="8" defaultRowHeight="15"/>
  <cols>
    <col width="3" customWidth="1" min="1" max="1"/>
    <col width="56" customWidth="1" min="2" max="2"/>
    <col width="14" customWidth="1" min="3" max="3"/>
    <col width="92" customWidth="1" min="4" max="4"/>
  </cols>
  <sheetData>
    <row r="1">
      <c r="B1" s="1" t="inlineStr">
        <is>
          <t>Rechengroessen und Tarifkonstanten - Rechtsstand 2026</t>
        </is>
      </c>
    </row>
    <row r="3">
      <c r="B3" s="5" t="inlineStr">
        <is>
          <t>SOZIALVERSICHERUNG 2026</t>
        </is>
      </c>
      <c r="C3" s="6" t="n"/>
    </row>
    <row r="4">
      <c r="B4" s="3" t="inlineStr">
        <is>
          <t>Beitragsbemessungsgrenze RV/AV (jaehrlich)</t>
        </is>
      </c>
      <c r="C4" s="21" t="n">
        <v>101400</v>
      </c>
      <c r="D4" s="13" t="inlineStr">
        <is>
          <t>SVBezGrV 2026 (BGBl. 2025 I Nr. 116); bundeseinheitlich.</t>
        </is>
      </c>
    </row>
    <row r="5">
      <c r="B5" s="3" t="inlineStr">
        <is>
          <t>Beitragsbemessungsgrenze KV/PV (jaehrlich)</t>
        </is>
      </c>
      <c r="C5" s="21" t="n">
        <v>69750</v>
      </c>
      <c r="D5" s="13" t="inlineStr">
        <is>
          <t>SVBezGrV 2026; 5.812,50 EUR monatlich.</t>
        </is>
      </c>
    </row>
    <row r="6">
      <c r="B6" s="3" t="inlineStr">
        <is>
          <t>Bezugsgroesse (monatlich)</t>
        </is>
      </c>
      <c r="C6" s="21" t="n">
        <v>3955</v>
      </c>
      <c r="D6" s="13" t="inlineStr">
        <is>
          <t>SVBezGrV 2026; 47.460 EUR jaehrlich.</t>
        </is>
      </c>
    </row>
    <row r="7">
      <c r="B7" s="3" t="inlineStr">
        <is>
          <t>Freibetrag Versorgungsbezuege KV (monatlich)</t>
        </is>
      </c>
      <c r="C7" s="22">
        <f>Parameter!$C$6/20</f>
        <v/>
      </c>
      <c r="D7" s="13" t="inlineStr">
        <is>
          <t>1/20 der Bezugsgroesse, 226 Abs. 2 S. 2 SGB V = 197,75 EUR/Monat in 2026. In der PV gilt statt des Freibetrags eine Freigrenze.</t>
        </is>
      </c>
    </row>
    <row r="8">
      <c r="B8" s="3" t="inlineStr">
        <is>
          <t>Vorlaeufiges Durchschnittsentgelt RV</t>
        </is>
      </c>
      <c r="C8" s="21" t="n">
        <v>51944</v>
      </c>
      <c r="D8" s="13" t="inlineStr">
        <is>
          <t>Anlage 1 zu SGB VI, Wert 2026 - Nenner fuer Entgeltpunkte.</t>
        </is>
      </c>
    </row>
    <row r="9">
      <c r="B9" s="3" t="inlineStr">
        <is>
          <t>Aktueller Rentenwert (ab 1.7.2026)</t>
        </is>
      </c>
      <c r="C9" s="21" t="n">
        <v>42.52</v>
      </c>
      <c r="D9" s="13" t="inlineStr">
        <is>
          <t>Rentenwertbestimmungsverordnung 2026; +4,24 % ggue. 40,79 EUR.</t>
        </is>
      </c>
    </row>
    <row r="10">
      <c r="B10" s="3" t="inlineStr">
        <is>
          <t>Rentenversicherung, Arbeitnehmeranteil</t>
        </is>
      </c>
      <c r="C10" s="16" t="n">
        <v>0.093</v>
      </c>
      <c r="D10" s="13" t="inlineStr">
        <is>
          <t>18,6 % haelftig.</t>
        </is>
      </c>
    </row>
    <row r="11">
      <c r="B11" s="3" t="inlineStr">
        <is>
          <t>Arbeitslosenversicherung, Arbeitnehmeranteil</t>
        </is>
      </c>
      <c r="C11" s="16" t="n">
        <v>0.013</v>
      </c>
      <c r="D11" s="13" t="inlineStr">
        <is>
          <t>2,6 % haelftig.</t>
        </is>
      </c>
    </row>
    <row r="12">
      <c r="B12" s="3" t="inlineStr">
        <is>
          <t>Krankenversicherung, allgemeiner Beitragssatz</t>
        </is>
      </c>
      <c r="C12" s="16" t="n">
        <v>0.146</v>
      </c>
      <c r="D12" s="13" t="inlineStr">
        <is>
          <t>241 SGB V.</t>
        </is>
      </c>
    </row>
    <row r="13">
      <c r="B13" s="3" t="inlineStr">
        <is>
          <t>Durchschnittlicher Zusatzbeitrag 2026</t>
        </is>
      </c>
      <c r="C13" s="16" t="n">
        <v>0.029</v>
      </c>
      <c r="D13" s="13" t="inlineStr">
        <is>
          <t>Bekanntmachung des BMG; kassenindividuell abweichend.</t>
        </is>
      </c>
    </row>
    <row r="14">
      <c r="B14" s="3" t="inlineStr">
        <is>
          <t>Pflegeversicherung, Gesamtbeitragssatz</t>
        </is>
      </c>
      <c r="C14" s="16" t="n">
        <v>0.036</v>
      </c>
      <c r="D14" s="13" t="inlineStr">
        <is>
          <t>55 SGB XI. Kinderabschlaege ab dem 2. Kind hier nicht modelliert.</t>
        </is>
      </c>
    </row>
    <row r="15">
      <c r="B15" s="3" t="inlineStr">
        <is>
          <t>Pflegeversicherung, Arbeitnehmeranteil</t>
        </is>
      </c>
      <c r="C15" s="16" t="n">
        <v>0.018</v>
      </c>
      <c r="D15" s="13" t="inlineStr">
        <is>
          <t>In Sachsen abweichend (2,3 %).</t>
        </is>
      </c>
    </row>
    <row r="16">
      <c r="B16" s="3" t="inlineStr">
        <is>
          <t>Zuschlag fuer Kinderlose (allein AN)</t>
        </is>
      </c>
      <c r="C16" s="16" t="n">
        <v>0.006</v>
      </c>
      <c r="D16" s="13" t="inlineStr">
        <is>
          <t>55 Abs. 3 SGB XI.</t>
        </is>
      </c>
    </row>
    <row r="17">
      <c r="B17" s="5" t="inlineStr">
        <is>
          <t>EINKOMMENSTEUERTARIF 2026 ( 32a EStG)</t>
        </is>
      </c>
      <c r="C17" s="6" t="n"/>
    </row>
    <row r="18">
      <c r="B18" s="3" t="inlineStr">
        <is>
          <t>Grundfreibetrag / Ende Zone 1</t>
        </is>
      </c>
      <c r="C18" s="21" t="n">
        <v>12348</v>
      </c>
      <c r="D18" s="13" t="inlineStr">
        <is>
          <t>32a Abs. 1 EStG i.d.F. des Steuerfortentwicklungsgesetzes.</t>
        </is>
      </c>
    </row>
    <row r="19">
      <c r="B19" s="3" t="inlineStr">
        <is>
          <t>Ende Zone 2 (Progressionszone I)</t>
        </is>
      </c>
      <c r="C19" s="21" t="n">
        <v>17799</v>
      </c>
      <c r="D19" s="13" t="inlineStr">
        <is>
          <t>Grenzsteuersatz steigt von 14 % auf 23,97 %.</t>
        </is>
      </c>
    </row>
    <row r="20">
      <c r="B20" s="3" t="inlineStr">
        <is>
          <t>Ende Zone 3 (Progressionszone II)</t>
        </is>
      </c>
      <c r="C20" s="21" t="n">
        <v>69878</v>
      </c>
      <c r="D20" s="13" t="inlineStr">
        <is>
          <t>Grenzsteuersatz steigt von 23,97 % auf 42 %.</t>
        </is>
      </c>
    </row>
    <row r="21">
      <c r="B21" s="3" t="inlineStr">
        <is>
          <t>Beginn Zone 5 (Reichensteuer)</t>
        </is>
      </c>
      <c r="C21" s="21" t="n">
        <v>277825</v>
      </c>
      <c r="D21" s="13" t="inlineStr">
        <is>
          <t>Ab 277.826 EUR gilt 45 %.</t>
        </is>
      </c>
    </row>
    <row r="22">
      <c r="B22" s="3" t="inlineStr">
        <is>
          <t>Koeffizient a2 (Zone 2)</t>
        </is>
      </c>
      <c r="C22" s="21" t="n">
        <v>914.51</v>
      </c>
      <c r="D22" s="13" t="inlineStr">
        <is>
          <t>ESt = (a2*y + b2)*y mit y = (zvE - Grundfreibetrag)/10.000.</t>
        </is>
      </c>
    </row>
    <row r="23">
      <c r="B23" s="3" t="inlineStr">
        <is>
          <t>Koeffizient b2 (Zone 2)</t>
        </is>
      </c>
      <c r="C23" s="21" t="n">
        <v>1400</v>
      </c>
      <c r="D23" s="13" t="inlineStr"/>
    </row>
    <row r="24">
      <c r="B24" s="3" t="inlineStr">
        <is>
          <t>Koeffizient a3 (Zone 3)</t>
        </is>
      </c>
      <c r="C24" s="21" t="n">
        <v>173.1</v>
      </c>
      <c r="D24" s="13" t="inlineStr">
        <is>
          <t>ESt = (a3*z + b3)*z + c3 mit z = (zvE - 17.799)/10.000.</t>
        </is>
      </c>
    </row>
    <row r="25">
      <c r="B25" s="3" t="inlineStr">
        <is>
          <t>Koeffizient b3 (Zone 3)</t>
        </is>
      </c>
      <c r="C25" s="21" t="n">
        <v>2397</v>
      </c>
      <c r="D25" s="13" t="inlineStr"/>
    </row>
    <row r="26">
      <c r="B26" s="3" t="inlineStr">
        <is>
          <t>Konstante c3 (Zone 3)</t>
        </is>
      </c>
      <c r="C26" s="21" t="n">
        <v>1034.87</v>
      </c>
      <c r="D26" s="13" t="inlineStr"/>
    </row>
    <row r="27">
      <c r="B27" s="3" t="inlineStr">
        <is>
          <t>Konstante c4 (Zone 4)</t>
        </is>
      </c>
      <c r="C27" s="21" t="n">
        <v>11135.63</v>
      </c>
      <c r="D27" s="13" t="inlineStr">
        <is>
          <t>ESt = 0,42*zvE - c4.</t>
        </is>
      </c>
    </row>
    <row r="28">
      <c r="B28" s="3" t="inlineStr">
        <is>
          <t>Konstante c5 (Zone 5)</t>
        </is>
      </c>
      <c r="C28" s="21" t="n">
        <v>19470.38</v>
      </c>
      <c r="D28" s="13" t="inlineStr">
        <is>
          <t>ESt = 0,45*zvE - c5.</t>
        </is>
      </c>
    </row>
    <row r="29">
      <c r="B29" s="3" t="inlineStr">
        <is>
          <t>Solidaritaetszuschlag</t>
        </is>
      </c>
      <c r="C29" s="16" t="n">
        <v>0.055</v>
      </c>
      <c r="D29" s="13" t="inlineStr">
        <is>
          <t>SolzG 1995.</t>
        </is>
      </c>
    </row>
    <row r="30">
      <c r="B30" s="3" t="inlineStr">
        <is>
          <t>Soli-Freigrenze (Grundtarif, festgesetzte ESt)</t>
        </is>
      </c>
      <c r="C30" s="21" t="n">
        <v>20350</v>
      </c>
      <c r="D30" s="13" t="inlineStr">
        <is>
          <t>2026; im Splitting doppelt. Milderungszone daneben.</t>
        </is>
      </c>
    </row>
    <row r="31">
      <c r="B31" s="3" t="inlineStr">
        <is>
          <t>Milderungszone: Grenzbelastung</t>
        </is>
      </c>
      <c r="C31" s="16" t="n">
        <v>0.119</v>
      </c>
      <c r="D31" s="13" t="inlineStr">
        <is>
          <t>3 Abs. 2a SolzG.</t>
        </is>
      </c>
    </row>
    <row r="32">
      <c r="B32" s="3" t="inlineStr">
        <is>
          <t>Arbeitnehmer-Pauschbetrag</t>
        </is>
      </c>
      <c r="C32" s="21" t="n">
        <v>1230</v>
      </c>
      <c r="D32" s="13" t="inlineStr">
        <is>
          <t>9a S. 1 Nr. 1a EStG.</t>
        </is>
      </c>
    </row>
    <row r="33">
      <c r="B33" s="3" t="inlineStr">
        <is>
          <t>Sonderausgaben-Pauschbetrag</t>
        </is>
      </c>
      <c r="C33" s="21" t="n">
        <v>36</v>
      </c>
      <c r="D33" s="13" t="inlineStr">
        <is>
          <t>10c EStG.</t>
        </is>
      </c>
    </row>
    <row r="34">
      <c r="B34" s="5" t="inlineStr">
        <is>
          <t>KAPITALERTRAGSTEUER UND INVESTMENTSTEUER</t>
        </is>
      </c>
      <c r="C34" s="6" t="n"/>
    </row>
    <row r="35">
      <c r="B35" s="3" t="inlineStr">
        <is>
          <t>Abgeltungsteuersatz</t>
        </is>
      </c>
      <c r="C35" s="16" t="n">
        <v>0.25</v>
      </c>
      <c r="D35" s="13" t="inlineStr">
        <is>
          <t>32d Abs. 1 EStG.</t>
        </is>
      </c>
    </row>
    <row r="36">
      <c r="B36" s="3" t="inlineStr">
        <is>
          <t>Effektive Belastung inkl. Soli und Kirchensteuer</t>
        </is>
      </c>
      <c r="C36" s="23">
        <f>Parameter!$C$35/(1+Parameter!$C$35*Eingaben!$C$16)*(1+Parameter!$C$29+Eingaben!$C$16)</f>
        <v/>
      </c>
      <c r="D36" s="13" t="inlineStr">
        <is>
          <t>Formel: 0,25/(1+0,25*k) * (1+0,055+k) nach 32d Abs. 1 S. 3 EStG. Ohne KiSt 26,375 %, bei 9 % KiSt 27,99 %.</t>
        </is>
      </c>
    </row>
    <row r="37">
      <c r="B37" s="3" t="inlineStr">
        <is>
          <t>Teilfreistellung Aktienfonds (Privatvermoegen)</t>
        </is>
      </c>
      <c r="C37" s="16" t="n">
        <v>0.3</v>
      </c>
      <c r="D37" s="13" t="inlineStr">
        <is>
          <t>20 Abs. 1 Nr. 3 i.V.m. 20 InvStG (Aktienfondsanteil &gt; 50 %).</t>
        </is>
      </c>
    </row>
    <row r="38">
      <c r="B38" s="3" t="inlineStr">
        <is>
          <t>Sparer-Pauschbetrag (Einzelveranlagung)</t>
        </is>
      </c>
      <c r="C38" s="21" t="n">
        <v>1000</v>
      </c>
      <c r="D38" s="13" t="inlineStr">
        <is>
          <t>20 Abs. 9 EStG; im Splitting 2.000 EUR.</t>
        </is>
      </c>
    </row>
    <row r="39">
      <c r="B39" s="3" t="inlineStr">
        <is>
          <t>Basiszins Vorabpauschale 2026</t>
        </is>
      </c>
      <c r="C39" s="16" t="n">
        <v>0.032</v>
      </c>
      <c r="D39" s="13" t="inlineStr">
        <is>
          <t>BMF-Schreiben vom 13.01.2026, 18 Abs. 4 InvStG (2025: 2,53 %).</t>
        </is>
      </c>
    </row>
    <row r="40">
      <c r="B40" s="3" t="inlineStr">
        <is>
          <t>Faktor fuer den Basisertrag</t>
        </is>
      </c>
      <c r="C40" s="16" t="n">
        <v>0.7</v>
      </c>
      <c r="D40" s="13" t="inlineStr">
        <is>
          <t>18 Abs. 1 S. 1 InvStG.</t>
        </is>
      </c>
    </row>
    <row r="41">
      <c r="B41" s="5" t="inlineStr">
        <is>
          <t>BETRIEBLICHE UND GEFOERDERTE PRIVATE ALTERSVORSORGE</t>
        </is>
      </c>
      <c r="C41" s="6" t="n"/>
    </row>
    <row r="42">
      <c r="B42" s="3" t="inlineStr">
        <is>
          <t>Steuerfrei nach 3 Nr. 63 EStG (Anteil der BBG-RV)</t>
        </is>
      </c>
      <c r="C42" s="16" t="n">
        <v>0.08</v>
      </c>
      <c r="D42" s="13" t="inlineStr">
        <is>
          <t>8 % der BBG-RV = 8.112 EUR in 2026.</t>
        </is>
      </c>
    </row>
    <row r="43">
      <c r="B43" s="3" t="inlineStr">
        <is>
          <t>Sozialversicherungsfrei (Anteil der BBG-RV)</t>
        </is>
      </c>
      <c r="C43" s="16" t="n">
        <v>0.04</v>
      </c>
      <c r="D43" s="13" t="inlineStr">
        <is>
          <t>1 Abs. 1 S. 1 Nr. 9 SvEV; 4 % = 4.056 EUR in 2026.</t>
        </is>
      </c>
    </row>
    <row r="44">
      <c r="B44" s="3" t="inlineStr">
        <is>
          <t>Zulage Stufe 1 (je EUR Eigenbeitrag)</t>
        </is>
      </c>
      <c r="C44" s="16" t="n">
        <v>0.5</v>
      </c>
      <c r="D44" s="13" t="inlineStr">
        <is>
          <t>Altersvorsorgereformgesetz, in Kraft seit Mai 2026, Anwendung ab 1.1.2027.</t>
        </is>
      </c>
    </row>
    <row r="45">
      <c r="B45" s="3" t="inlineStr">
        <is>
          <t>Grenze Stufe 1</t>
        </is>
      </c>
      <c r="C45" s="21" t="n">
        <v>360</v>
      </c>
      <c r="D45" s="13" t="inlineStr">
        <is>
          <t>Bis 360 EUR Eigenbeitrag: 50 Cent je EUR.</t>
        </is>
      </c>
    </row>
    <row r="46">
      <c r="B46" s="3" t="inlineStr">
        <is>
          <t>Zulage Stufe 2 (je EUR Eigenbeitrag)</t>
        </is>
      </c>
      <c r="C46" s="16" t="n">
        <v>0.25</v>
      </c>
      <c r="D46" s="13" t="inlineStr">
        <is>
          <t>Von 361 bis 1.800 EUR: 25 Cent je EUR.</t>
        </is>
      </c>
    </row>
    <row r="47">
      <c r="B47" s="3" t="inlineStr">
        <is>
          <t>Grenze Stufe 2 / Hoechstbetrag gefoerderter Eigenbeitrag</t>
        </is>
      </c>
      <c r="C47" s="21" t="n">
        <v>1800</v>
      </c>
      <c r="D47" s="13" t="inlineStr">
        <is>
          <t>Ergibt eine maximale Grundzulage von 540 EUR.</t>
        </is>
      </c>
    </row>
    <row r="48">
      <c r="B48" s="3" t="inlineStr">
        <is>
          <t>Kinderzulage je Kind (max.)</t>
        </is>
      </c>
      <c r="C48" s="21" t="n">
        <v>300</v>
      </c>
      <c r="D48" s="13" t="inlineStr">
        <is>
          <t>1 EUR je eingezahltem EUR bis 300 EUR je Kind.</t>
        </is>
      </c>
    </row>
    <row r="49">
      <c r="B49" s="3" t="inlineStr">
        <is>
          <t>Hoechstbetrag Einzahlung Altersvorsorgevertrag p.a.</t>
        </is>
      </c>
      <c r="C49" s="21" t="n">
        <v>6840</v>
      </c>
      <c r="D49" s="13" t="inlineStr">
        <is>
          <t>BMF-FAQ zur Reform der geförderten privaten Altersvorsorge, Stand 05.05.2026.</t>
        </is>
      </c>
    </row>
    <row r="50">
      <c r="B50" s="3" t="inlineStr">
        <is>
          <t>Hoechstbetrag Sonderausgabenabzug 10a EStG</t>
        </is>
      </c>
      <c r="C50" s="21" t="n">
        <v>2340</v>
      </c>
      <c r="D50" s="13" t="inlineStr">
        <is>
          <t>Eigenbeitrag bis 1.800 EUR zzgl. Zulagen. MODELLANNAHME, Vertrauensgrad ca. 70 %.</t>
        </is>
      </c>
    </row>
    <row r="51">
      <c r="B51" s="3" t="inlineStr">
        <is>
          <t>Ertragsanteil nicht gefoerderter Rententeile (Alter 67)</t>
        </is>
      </c>
      <c r="C51" s="16" t="n">
        <v>0.17</v>
      </c>
      <c r="D51" s="13" t="inlineStr">
        <is>
          <t>22 Nr. 1 S. 3 Buchst. a Doppelbuchst. bb EStG. Wird nur nachrichtlich gefuehrt.</t>
        </is>
      </c>
    </row>
    <row r="52">
      <c r="B52" s="3" t="inlineStr">
        <is>
          <t>Steuerpflichtiger Anteil des Unterschiedsbetrags</t>
        </is>
      </c>
      <c r="C52" s="16" t="n">
        <v>0.5</v>
      </c>
      <c r="D52" s="13" t="inlineStr">
        <is>
          <t>20 Abs. 1 Nr. 6 S. 2 EStG analog (Vertrag &gt; 12 Jahre, Auszahlung nach 62): halber Unterschiedsbetrag.</t>
        </is>
      </c>
    </row>
    <row r="53">
      <c r="B53" s="3" t="inlineStr">
        <is>
          <t>KV-Satz auf die gesetzliche Rente (Rentneranteil)</t>
        </is>
      </c>
      <c r="C53" s="23">
        <f>(Parameter!$C$12+Parameter!$C$13)/2</f>
        <v/>
      </c>
      <c r="D53" s="13" t="inlineStr">
        <is>
          <t>Halber allgemeiner Satz zzgl. halbem Zusatzbeitrag, 249a SGB V.</t>
        </is>
      </c>
    </row>
    <row r="54">
      <c r="B54" s="3" t="inlineStr">
        <is>
          <t>KV-Satz auf Versorgungsbezuege (voll)</t>
        </is>
      </c>
      <c r="C54" s="23">
        <f>Parameter!$C$12+Parameter!$C$13</f>
        <v/>
      </c>
      <c r="D54" s="13" t="inlineStr">
        <is>
          <t>250 Abs. 1 Nr. 1 SGB V: der Rentner traegt den vollen Satz allein.</t>
        </is>
      </c>
    </row>
    <row r="56">
      <c r="B56" s="5" t="inlineStr">
        <is>
          <t>ABGELEITETE GROESSEN</t>
        </is>
      </c>
      <c r="C56" s="6" t="n"/>
    </row>
    <row r="57">
      <c r="B57" s="3" t="inlineStr">
        <is>
          <t>Splittingfaktor s (1 oder 2)</t>
        </is>
      </c>
      <c r="C57" s="24">
        <f>IF(Eingaben!$C$14=3,2,1)</f>
        <v/>
      </c>
    </row>
    <row r="58">
      <c r="B58" s="3" t="inlineStr">
        <is>
          <t>PV-Anteil AN effektiv (inkl. Kinderlosenzuschlag)</t>
        </is>
      </c>
      <c r="C58" s="23">
        <f>Parameter!$C$15+IF(Eingaben!$C$20=1,Parameter!$C$16,0)</f>
        <v/>
      </c>
    </row>
    <row r="59">
      <c r="B59" s="3" t="inlineStr">
        <is>
          <t>PV-Satz Rentner/Versorgungsbezuege effektiv</t>
        </is>
      </c>
      <c r="C59" s="23">
        <f>Parameter!$C$14+IF(Eingaben!$C$20=1,Parameter!$C$16,0)</f>
        <v/>
      </c>
    </row>
    <row r="60">
      <c r="B60" s="3" t="inlineStr">
        <is>
          <t>Nettorendite bAV-Depot p.a.</t>
        </is>
      </c>
      <c r="C60" s="23">
        <f>Eingaben!$C$36-Eingaben!$C$37</f>
        <v/>
      </c>
    </row>
    <row r="61">
      <c r="B61" s="3" t="inlineStr">
        <is>
          <t>Nettorendite Altersvorsorgedepot p.a.</t>
        </is>
      </c>
      <c r="C61" s="23">
        <f>Eingaben!$C$36-Eingaben!$C$38</f>
        <v/>
      </c>
    </row>
    <row r="62">
      <c r="B62" s="3" t="inlineStr">
        <is>
          <t>Nettorendite privates Depot p.a. (vor Steuern)</t>
        </is>
      </c>
      <c r="C62" s="23">
        <f>Eingaben!$C$36-Eingaben!$C$39</f>
        <v/>
      </c>
    </row>
    <row r="63">
      <c r="B63" s="3" t="inlineStr">
        <is>
          <t>Jahre der Ansparphase</t>
        </is>
      </c>
      <c r="C63" s="24">
        <f>Eingaben!$C$6-Eingaben!$C$5</f>
        <v/>
      </c>
    </row>
    <row r="64">
      <c r="B64" s="3" t="inlineStr">
        <is>
          <t>Jahre des Auszahlungsplans</t>
        </is>
      </c>
      <c r="C64" s="24">
        <f>Eingaben!$C$7-Eingaben!$C$6+1</f>
        <v/>
      </c>
    </row>
    <row r="65">
      <c r="B65" s="3" t="inlineStr">
        <is>
          <t>Kalenderjahr des Auszahlungsbeginns</t>
        </is>
      </c>
      <c r="C65" s="24">
        <f>2026+Eingaben!$C$6-Eingaben!$C$5</f>
        <v/>
      </c>
    </row>
    <row r="66">
      <c r="B66" s="3" t="inlineStr">
        <is>
          <t>Besteuerungsanteil der gesetzlichen Rente</t>
        </is>
      </c>
      <c r="C66" s="23">
        <f>MIN(1,0.825+0.005*(Parameter!$C$65-2023))</f>
        <v/>
      </c>
    </row>
    <row r="67">
      <c r="B67" s="3" t="inlineStr">
        <is>
          <t>Sparer-Pauschbetrag effektiv</t>
        </is>
      </c>
      <c r="C67" s="25">
        <f>Parameter!$C$38*IF(Eingaben!$C$14=3,2,1)</f>
        <v/>
      </c>
      <c r="D67" s="13" t="inlineStr">
        <is>
          <t>22 Nr. 1 S. 3 Buchst. a Doppelbuchst. aa EStG: Kohorte 2023 = 82,5 %, +0,5 Prozentpunkte je Jahr bis 100 % ab 2058.</t>
        </is>
      </c>
    </row>
    <row r="68">
      <c r="B68" s="3" t="inlineStr">
        <is>
          <t>Wiederanlagezins nach Steuern p.a.</t>
        </is>
      </c>
      <c r="C68" s="23">
        <f>Parameter!$C$62*(1-Parameter!$C$36*(1-Parameter!$C$37))</f>
        <v/>
      </c>
      <c r="D68" s="13" t="inlineStr">
        <is>
          <t>Rendite, zu der ein Einmalbetrag in einem normalen Depot wieder angelegt werden koennte, nach Abgeltungsteuer und Teilfreistellung. Massstab fuer das Verrentungsaequivalent.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B1:S56"/>
  <sheetViews>
    <sheetView showGridLines="0" workbookViewId="0">
      <selection activeCell="A1" sqref="A1"/>
    </sheetView>
  </sheetViews>
  <sheetFormatPr baseColWidth="8" defaultRowHeight="15"/>
  <cols>
    <col width="3" customWidth="1" min="1" max="1"/>
    <col width="8" customWidth="1" min="2" max="2"/>
    <col width="14" customWidth="1" min="3" max="3"/>
    <col width="14" customWidth="1" min="4" max="4"/>
    <col width="14"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3" customWidth="1" min="14" max="14"/>
    <col width="13" customWidth="1" min="15" max="15"/>
    <col width="13" customWidth="1" min="16" max="16"/>
    <col width="13" customWidth="1" min="17" max="17"/>
    <col width="13" customWidth="1" min="18" max="18"/>
    <col width="14" customWidth="1" min="19" max="19"/>
  </cols>
  <sheetData>
    <row r="1">
      <c r="B1" s="1" t="inlineStr">
        <is>
          <t>Umrechnung Nettoaufwand -&gt; Bruttobeitrag</t>
        </is>
      </c>
    </row>
    <row r="2">
      <c r="B2" s="2" t="inlineStr">
        <is>
          <t>Nur aktiv bei Vorgabemodus 2. Gesucht ist die Nullstelle von N(B) - Zielwert; N ist streng monoton wachsend, also konvergiert die Bisektion garantiert.</t>
        </is>
      </c>
    </row>
    <row r="4">
      <c r="B4" s="3" t="inlineStr">
        <is>
          <t>Teilzeitfaktor im ersten Jahr</t>
        </is>
      </c>
      <c r="C4" s="26">
        <f>IF(Eingaben!$C$5&gt;=Eingaben!$C$9,Eingaben!$C$10,1)</f>
        <v/>
      </c>
    </row>
    <row r="5">
      <c r="B5" s="3" t="inlineStr">
        <is>
          <t>Bruttogehalt im ersten Jahr</t>
        </is>
      </c>
      <c r="C5" s="27">
        <f>Eingaben!$C$12*Umrechnung!$C$4</f>
        <v/>
      </c>
    </row>
    <row r="6">
      <c r="B6" s="3" t="inlineStr">
        <is>
          <t>BBG RV im ersten Jahr</t>
        </is>
      </c>
      <c r="C6" s="27">
        <f>Parameter!$C$4</f>
        <v/>
      </c>
    </row>
    <row r="7">
      <c r="B7" s="3" t="inlineStr">
        <is>
          <t>BBG KV im ersten Jahr</t>
        </is>
      </c>
      <c r="C7" s="27">
        <f>Parameter!$C$5</f>
        <v/>
      </c>
    </row>
    <row r="8">
      <c r="B8" s="3" t="inlineStr">
        <is>
          <t>Tarifindex im ersten Jahr</t>
        </is>
      </c>
      <c r="C8" s="28">
        <f>1</f>
        <v/>
      </c>
    </row>
    <row r="9">
      <c r="B9" s="3" t="inlineStr">
        <is>
          <t>Zielwert Nettoaufwand p.a.</t>
        </is>
      </c>
      <c r="C9" s="27">
        <f>12*Eingaben!$C$24</f>
        <v/>
      </c>
    </row>
    <row r="10">
      <c r="B10" s="3" t="inlineStr">
        <is>
          <t>abziehbare Vorsorgeaufwendungen ohne bAV</t>
        </is>
      </c>
      <c r="C10" s="27">
        <f>MIN(Umrechnung!$C$5,Umrechnung!$C$6)*Parameter!$C$10+MIN(Umrechnung!$C$5,Umrechnung!$C$7)*(0.96*(Parameter!$C$12+Parameter!$C$13)/2+Parameter!$C$58)</f>
        <v/>
      </c>
    </row>
    <row r="11">
      <c r="B11" s="3" t="inlineStr">
        <is>
          <t>zvE ohne bAV</t>
        </is>
      </c>
      <c r="C11" s="27">
        <f>MAX(0,Umrechnung!$C$5-Parameter!$C$32-Parameter!$C$33-Umrechnung!$C$10)</f>
        <v/>
      </c>
    </row>
    <row r="12">
      <c r="B12" s="3" t="inlineStr">
        <is>
          <t>Tarifargument ohne bAV</t>
        </is>
      </c>
      <c r="C12" s="27">
        <f>MAX(0,(Umrechnung!$C$11+IF(Eingaben!$C$14=3,Eingaben!$C$15,0))/Parameter!$C$57/Umrechnung!$C$8)</f>
        <v/>
      </c>
    </row>
    <row r="13">
      <c r="B13" s="3" t="inlineStr">
        <is>
          <t>ESt ohne bAV</t>
        </is>
      </c>
      <c r="C13" s="27">
        <f>Parameter!$C$57*Umrechnung!$C$8*(IF(Umrechnung!$C$12&lt;=Parameter!$C$18,0,IF(Umrechnung!$C$12&lt;=Parameter!$C$19,(Parameter!$C$22*(Umrechnung!$C$12-Parameter!$C$18)/10000+Parameter!$C$23)*(Umrechnung!$C$12-Parameter!$C$18)/10000,IF(Umrechnung!$C$12&lt;=Parameter!$C$20,(Parameter!$C$24*(Umrechnung!$C$12-Parameter!$C$19)/10000+Parameter!$C$25)*(Umrechnung!$C$12-Parameter!$C$19)/10000+Parameter!$C$26,IF(Umrechnung!$C$12&lt;=Parameter!$C$21,0.42*Umrechnung!$C$12-Parameter!$C$27,0.45*Umrechnung!$C$12-Parameter!$C$28)))))</f>
        <v/>
      </c>
    </row>
    <row r="14">
      <c r="B14" s="3" t="inlineStr">
        <is>
          <t>Steuer gesamt ohne bAV</t>
        </is>
      </c>
      <c r="C14" s="27">
        <f>Umrechnung!$C$13+IF(Umrechnung!$C$13&lt;=(Parameter!$C$30*Parameter!$C$57*Umrechnung!$C$8),0,MIN(Parameter!$C$29*Umrechnung!$C$13,Parameter!$C$31*(Umrechnung!$C$13-(Parameter!$C$30*Parameter!$C$57*Umrechnung!$C$8))))+Eingaben!$C$16*Umrechnung!$C$13</f>
        <v/>
      </c>
    </row>
    <row r="16">
      <c r="B16" s="4" t="inlineStr">
        <is>
          <t>Bisektion</t>
        </is>
      </c>
    </row>
    <row r="17">
      <c r="B17" s="29" t="inlineStr">
        <is>
          <t>Schritt</t>
        </is>
      </c>
      <c r="C17" s="29" t="inlineStr">
        <is>
          <t>lo</t>
        </is>
      </c>
      <c r="D17" s="29" t="inlineStr">
        <is>
          <t>hi</t>
        </is>
      </c>
      <c r="E17" s="29" t="inlineStr">
        <is>
          <t>B = (lo+hi)/2</t>
        </is>
      </c>
      <c r="F17" s="29" t="inlineStr">
        <is>
          <t>sv-frei</t>
        </is>
      </c>
      <c r="G17" s="29" t="inlineStr">
        <is>
          <t>D RV-Bem.</t>
        </is>
      </c>
      <c r="H17" s="29" t="inlineStr">
        <is>
          <t>D KV-Bem.</t>
        </is>
      </c>
      <c r="I17" s="29" t="inlineStr">
        <is>
          <t>SV-Ersp. AN</t>
        </is>
      </c>
      <c r="J17" s="29" t="inlineStr">
        <is>
          <t>SV-Ersp. AG</t>
        </is>
      </c>
      <c r="K17" s="29" t="inlineStr">
        <is>
          <t>AG fest</t>
        </is>
      </c>
      <c r="L17" s="29" t="inlineStr">
        <is>
          <t>AG-Zuschuss</t>
        </is>
      </c>
      <c r="M17" s="29" t="inlineStr">
        <is>
          <t>steuerfrei</t>
        </is>
      </c>
      <c r="N17" s="29" t="inlineStr">
        <is>
          <t>Vorsorgeaufw.</t>
        </is>
      </c>
      <c r="O17" s="29" t="inlineStr">
        <is>
          <t>zvE mit bAV</t>
        </is>
      </c>
      <c r="P17" s="29" t="inlineStr">
        <is>
          <t>Tarifarg.</t>
        </is>
      </c>
      <c r="Q17" s="29" t="inlineStr">
        <is>
          <t>ESt</t>
        </is>
      </c>
      <c r="R17" s="29" t="inlineStr">
        <is>
          <t>Steuer ges.</t>
        </is>
      </c>
      <c r="S17" s="29" t="inlineStr">
        <is>
          <t>N(B)</t>
        </is>
      </c>
    </row>
    <row r="18">
      <c r="B18" s="30" t="inlineStr">
        <is>
          <t>1</t>
        </is>
      </c>
      <c r="C18" s="31">
        <f>0</f>
        <v/>
      </c>
      <c r="D18" s="31">
        <f>Umrechnung!$C$5</f>
        <v/>
      </c>
      <c r="E18" s="31">
        <f>(C18+D18)/2</f>
        <v/>
      </c>
      <c r="F18" s="31">
        <f>MIN(E18,MAX(0,Parameter!$C$43*Umrechnung!$C$6-K18))</f>
        <v/>
      </c>
      <c r="G18" s="31">
        <f>MIN(Umrechnung!$C$5,Umrechnung!$C$6)-MIN(Umrechnung!$C$5-F18,Umrechnung!$C$6)</f>
        <v/>
      </c>
      <c r="H18" s="31">
        <f>MIN(Umrechnung!$C$5,Umrechnung!$C$7)-MIN(Umrechnung!$C$5-F18,Umrechnung!$C$7)</f>
        <v/>
      </c>
      <c r="I18" s="31">
        <f>G18*(Parameter!$C$10+Parameter!$C$11)+H18*((Parameter!$C$12+Parameter!$C$13)/2+Parameter!$C$58)</f>
        <v/>
      </c>
      <c r="J18" s="31">
        <f>G18*(Parameter!$C$10+Parameter!$C$11)+H18*((Parameter!$C$12+Parameter!$C$13)/2+Parameter!$C$15)</f>
        <v/>
      </c>
      <c r="K18" s="31">
        <f>IF(E18/12+0.000000001&lt;Eingaben!$C$29,0,12*Eingaben!$C$27)</f>
        <v/>
      </c>
      <c r="L18" s="31">
        <f>IF(Eingaben!$C$30=2,MIN(Eingaben!$C$26*E18,J18),Eingaben!$C$26*IF(Eingaben!$C$30=1,F18,E18))+K18</f>
        <v/>
      </c>
      <c r="M18" s="31">
        <f>MIN(E18,MAX(0,Parameter!$C$42*Umrechnung!$C$6-L18))</f>
        <v/>
      </c>
      <c r="N18" s="31">
        <f>MIN(Umrechnung!$C$5-F18,Umrechnung!$C$6)*Parameter!$C$10+MIN(Umrechnung!$C$5-F18,Umrechnung!$C$7)*(0.96*(Parameter!$C$12+Parameter!$C$13)/2+Parameter!$C$58)</f>
        <v/>
      </c>
      <c r="O18" s="31">
        <f>MAX(0,Umrechnung!$C$5-M18-Parameter!$C$32-Parameter!$C$33-N18)</f>
        <v/>
      </c>
      <c r="P18" s="31">
        <f>MAX(0,(O18+IF(Eingaben!$C$14=3,Eingaben!$C$15,0))/Parameter!$C$57/Umrechnung!$C$8)</f>
        <v/>
      </c>
      <c r="Q18" s="31">
        <f>Parameter!$C$57*Umrechnung!$C$8*(IF(P18&lt;=Parameter!$C$18,0,IF(P18&lt;=Parameter!$C$19,(Parameter!$C$22*(P18-Parameter!$C$18)/10000+Parameter!$C$23)*(P18-Parameter!$C$18)/10000,IF(P18&lt;=Parameter!$C$20,(Parameter!$C$24*(P18-Parameter!$C$19)/10000+Parameter!$C$25)*(P18-Parameter!$C$19)/10000+Parameter!$C$26,IF(P18&lt;=Parameter!$C$21,0.42*P18-Parameter!$C$27,0.45*P18-Parameter!$C$28)))))</f>
        <v/>
      </c>
      <c r="R18" s="31">
        <f>Q18+IF(Q18&lt;=(Parameter!$C$30*Parameter!$C$57*Umrechnung!$C$8),0,MIN(Parameter!$C$29*Q18,Parameter!$C$31*(Q18-(Parameter!$C$30*Parameter!$C$57*Umrechnung!$C$8))))+Eingaben!$C$16*Q18</f>
        <v/>
      </c>
      <c r="S18" s="31">
        <f>E18-I18-(Umrechnung!$C$14-R18)</f>
        <v/>
      </c>
    </row>
    <row r="19">
      <c r="B19" s="32" t="inlineStr">
        <is>
          <t>2</t>
        </is>
      </c>
      <c r="C19" s="33">
        <f>IF(S18&lt;Umrechnung!$C$9,E18,C18)</f>
        <v/>
      </c>
      <c r="D19" s="33">
        <f>IF(S18&lt;Umrechnung!$C$9,D18,E18)</f>
        <v/>
      </c>
      <c r="E19" s="33">
        <f>(C19+D19)/2</f>
        <v/>
      </c>
      <c r="F19" s="33">
        <f>MIN(E19,MAX(0,Parameter!$C$43*Umrechnung!$C$6-K19))</f>
        <v/>
      </c>
      <c r="G19" s="33">
        <f>MIN(Umrechnung!$C$5,Umrechnung!$C$6)-MIN(Umrechnung!$C$5-F19,Umrechnung!$C$6)</f>
        <v/>
      </c>
      <c r="H19" s="33">
        <f>MIN(Umrechnung!$C$5,Umrechnung!$C$7)-MIN(Umrechnung!$C$5-F19,Umrechnung!$C$7)</f>
        <v/>
      </c>
      <c r="I19" s="33">
        <f>G19*(Parameter!$C$10+Parameter!$C$11)+H19*((Parameter!$C$12+Parameter!$C$13)/2+Parameter!$C$58)</f>
        <v/>
      </c>
      <c r="J19" s="33">
        <f>G19*(Parameter!$C$10+Parameter!$C$11)+H19*((Parameter!$C$12+Parameter!$C$13)/2+Parameter!$C$15)</f>
        <v/>
      </c>
      <c r="K19" s="33">
        <f>IF(E19/12+0.000000001&lt;Eingaben!$C$29,0,12*Eingaben!$C$27)</f>
        <v/>
      </c>
      <c r="L19" s="33">
        <f>IF(Eingaben!$C$30=2,MIN(Eingaben!$C$26*E19,J19),Eingaben!$C$26*IF(Eingaben!$C$30=1,F19,E19))+K19</f>
        <v/>
      </c>
      <c r="M19" s="33">
        <f>MIN(E19,MAX(0,Parameter!$C$42*Umrechnung!$C$6-L19))</f>
        <v/>
      </c>
      <c r="N19" s="33">
        <f>MIN(Umrechnung!$C$5-F19,Umrechnung!$C$6)*Parameter!$C$10+MIN(Umrechnung!$C$5-F19,Umrechnung!$C$7)*(0.96*(Parameter!$C$12+Parameter!$C$13)/2+Parameter!$C$58)</f>
        <v/>
      </c>
      <c r="O19" s="33">
        <f>MAX(0,Umrechnung!$C$5-M19-Parameter!$C$32-Parameter!$C$33-N19)</f>
        <v/>
      </c>
      <c r="P19" s="33">
        <f>MAX(0,(O19+IF(Eingaben!$C$14=3,Eingaben!$C$15,0))/Parameter!$C$57/Umrechnung!$C$8)</f>
        <v/>
      </c>
      <c r="Q19" s="33">
        <f>Parameter!$C$57*Umrechnung!$C$8*(IF(P19&lt;=Parameter!$C$18,0,IF(P19&lt;=Parameter!$C$19,(Parameter!$C$22*(P19-Parameter!$C$18)/10000+Parameter!$C$23)*(P19-Parameter!$C$18)/10000,IF(P19&lt;=Parameter!$C$20,(Parameter!$C$24*(P19-Parameter!$C$19)/10000+Parameter!$C$25)*(P19-Parameter!$C$19)/10000+Parameter!$C$26,IF(P19&lt;=Parameter!$C$21,0.42*P19-Parameter!$C$27,0.45*P19-Parameter!$C$28)))))</f>
        <v/>
      </c>
      <c r="R19" s="33">
        <f>Q19+IF(Q19&lt;=(Parameter!$C$30*Parameter!$C$57*Umrechnung!$C$8),0,MIN(Parameter!$C$29*Q19,Parameter!$C$31*(Q19-(Parameter!$C$30*Parameter!$C$57*Umrechnung!$C$8))))+Eingaben!$C$16*Q19</f>
        <v/>
      </c>
      <c r="S19" s="33">
        <f>E19-I19-(Umrechnung!$C$14-R19)</f>
        <v/>
      </c>
    </row>
    <row r="20">
      <c r="B20" s="30" t="inlineStr">
        <is>
          <t>3</t>
        </is>
      </c>
      <c r="C20" s="31">
        <f>IF(S19&lt;Umrechnung!$C$9,E19,C19)</f>
        <v/>
      </c>
      <c r="D20" s="31">
        <f>IF(S19&lt;Umrechnung!$C$9,D19,E19)</f>
        <v/>
      </c>
      <c r="E20" s="31">
        <f>(C20+D20)/2</f>
        <v/>
      </c>
      <c r="F20" s="31">
        <f>MIN(E20,MAX(0,Parameter!$C$43*Umrechnung!$C$6-K20))</f>
        <v/>
      </c>
      <c r="G20" s="31">
        <f>MIN(Umrechnung!$C$5,Umrechnung!$C$6)-MIN(Umrechnung!$C$5-F20,Umrechnung!$C$6)</f>
        <v/>
      </c>
      <c r="H20" s="31">
        <f>MIN(Umrechnung!$C$5,Umrechnung!$C$7)-MIN(Umrechnung!$C$5-F20,Umrechnung!$C$7)</f>
        <v/>
      </c>
      <c r="I20" s="31">
        <f>G20*(Parameter!$C$10+Parameter!$C$11)+H20*((Parameter!$C$12+Parameter!$C$13)/2+Parameter!$C$58)</f>
        <v/>
      </c>
      <c r="J20" s="31">
        <f>G20*(Parameter!$C$10+Parameter!$C$11)+H20*((Parameter!$C$12+Parameter!$C$13)/2+Parameter!$C$15)</f>
        <v/>
      </c>
      <c r="K20" s="31">
        <f>IF(E20/12+0.000000001&lt;Eingaben!$C$29,0,12*Eingaben!$C$27)</f>
        <v/>
      </c>
      <c r="L20" s="31">
        <f>IF(Eingaben!$C$30=2,MIN(Eingaben!$C$26*E20,J20),Eingaben!$C$26*IF(Eingaben!$C$30=1,F20,E20))+K20</f>
        <v/>
      </c>
      <c r="M20" s="31">
        <f>MIN(E20,MAX(0,Parameter!$C$42*Umrechnung!$C$6-L20))</f>
        <v/>
      </c>
      <c r="N20" s="31">
        <f>MIN(Umrechnung!$C$5-F20,Umrechnung!$C$6)*Parameter!$C$10+MIN(Umrechnung!$C$5-F20,Umrechnung!$C$7)*(0.96*(Parameter!$C$12+Parameter!$C$13)/2+Parameter!$C$58)</f>
        <v/>
      </c>
      <c r="O20" s="31">
        <f>MAX(0,Umrechnung!$C$5-M20-Parameter!$C$32-Parameter!$C$33-N20)</f>
        <v/>
      </c>
      <c r="P20" s="31">
        <f>MAX(0,(O20+IF(Eingaben!$C$14=3,Eingaben!$C$15,0))/Parameter!$C$57/Umrechnung!$C$8)</f>
        <v/>
      </c>
      <c r="Q20" s="31">
        <f>Parameter!$C$57*Umrechnung!$C$8*(IF(P20&lt;=Parameter!$C$18,0,IF(P20&lt;=Parameter!$C$19,(Parameter!$C$22*(P20-Parameter!$C$18)/10000+Parameter!$C$23)*(P20-Parameter!$C$18)/10000,IF(P20&lt;=Parameter!$C$20,(Parameter!$C$24*(P20-Parameter!$C$19)/10000+Parameter!$C$25)*(P20-Parameter!$C$19)/10000+Parameter!$C$26,IF(P20&lt;=Parameter!$C$21,0.42*P20-Parameter!$C$27,0.45*P20-Parameter!$C$28)))))</f>
        <v/>
      </c>
      <c r="R20" s="31">
        <f>Q20+IF(Q20&lt;=(Parameter!$C$30*Parameter!$C$57*Umrechnung!$C$8),0,MIN(Parameter!$C$29*Q20,Parameter!$C$31*(Q20-(Parameter!$C$30*Parameter!$C$57*Umrechnung!$C$8))))+Eingaben!$C$16*Q20</f>
        <v/>
      </c>
      <c r="S20" s="31">
        <f>E20-I20-(Umrechnung!$C$14-R20)</f>
        <v/>
      </c>
    </row>
    <row r="21">
      <c r="B21" s="32" t="inlineStr">
        <is>
          <t>4</t>
        </is>
      </c>
      <c r="C21" s="33">
        <f>IF(S20&lt;Umrechnung!$C$9,E20,C20)</f>
        <v/>
      </c>
      <c r="D21" s="33">
        <f>IF(S20&lt;Umrechnung!$C$9,D20,E20)</f>
        <v/>
      </c>
      <c r="E21" s="33">
        <f>(C21+D21)/2</f>
        <v/>
      </c>
      <c r="F21" s="33">
        <f>MIN(E21,MAX(0,Parameter!$C$43*Umrechnung!$C$6-K21))</f>
        <v/>
      </c>
      <c r="G21" s="33">
        <f>MIN(Umrechnung!$C$5,Umrechnung!$C$6)-MIN(Umrechnung!$C$5-F21,Umrechnung!$C$6)</f>
        <v/>
      </c>
      <c r="H21" s="33">
        <f>MIN(Umrechnung!$C$5,Umrechnung!$C$7)-MIN(Umrechnung!$C$5-F21,Umrechnung!$C$7)</f>
        <v/>
      </c>
      <c r="I21" s="33">
        <f>G21*(Parameter!$C$10+Parameter!$C$11)+H21*((Parameter!$C$12+Parameter!$C$13)/2+Parameter!$C$58)</f>
        <v/>
      </c>
      <c r="J21" s="33">
        <f>G21*(Parameter!$C$10+Parameter!$C$11)+H21*((Parameter!$C$12+Parameter!$C$13)/2+Parameter!$C$15)</f>
        <v/>
      </c>
      <c r="K21" s="33">
        <f>IF(E21/12+0.000000001&lt;Eingaben!$C$29,0,12*Eingaben!$C$27)</f>
        <v/>
      </c>
      <c r="L21" s="33">
        <f>IF(Eingaben!$C$30=2,MIN(Eingaben!$C$26*E21,J21),Eingaben!$C$26*IF(Eingaben!$C$30=1,F21,E21))+K21</f>
        <v/>
      </c>
      <c r="M21" s="33">
        <f>MIN(E21,MAX(0,Parameter!$C$42*Umrechnung!$C$6-L21))</f>
        <v/>
      </c>
      <c r="N21" s="33">
        <f>MIN(Umrechnung!$C$5-F21,Umrechnung!$C$6)*Parameter!$C$10+MIN(Umrechnung!$C$5-F21,Umrechnung!$C$7)*(0.96*(Parameter!$C$12+Parameter!$C$13)/2+Parameter!$C$58)</f>
        <v/>
      </c>
      <c r="O21" s="33">
        <f>MAX(0,Umrechnung!$C$5-M21-Parameter!$C$32-Parameter!$C$33-N21)</f>
        <v/>
      </c>
      <c r="P21" s="33">
        <f>MAX(0,(O21+IF(Eingaben!$C$14=3,Eingaben!$C$15,0))/Parameter!$C$57/Umrechnung!$C$8)</f>
        <v/>
      </c>
      <c r="Q21" s="33">
        <f>Parameter!$C$57*Umrechnung!$C$8*(IF(P21&lt;=Parameter!$C$18,0,IF(P21&lt;=Parameter!$C$19,(Parameter!$C$22*(P21-Parameter!$C$18)/10000+Parameter!$C$23)*(P21-Parameter!$C$18)/10000,IF(P21&lt;=Parameter!$C$20,(Parameter!$C$24*(P21-Parameter!$C$19)/10000+Parameter!$C$25)*(P21-Parameter!$C$19)/10000+Parameter!$C$26,IF(P21&lt;=Parameter!$C$21,0.42*P21-Parameter!$C$27,0.45*P21-Parameter!$C$28)))))</f>
        <v/>
      </c>
      <c r="R21" s="33">
        <f>Q21+IF(Q21&lt;=(Parameter!$C$30*Parameter!$C$57*Umrechnung!$C$8),0,MIN(Parameter!$C$29*Q21,Parameter!$C$31*(Q21-(Parameter!$C$30*Parameter!$C$57*Umrechnung!$C$8))))+Eingaben!$C$16*Q21</f>
        <v/>
      </c>
      <c r="S21" s="33">
        <f>E21-I21-(Umrechnung!$C$14-R21)</f>
        <v/>
      </c>
    </row>
    <row r="22">
      <c r="B22" s="30" t="inlineStr">
        <is>
          <t>5</t>
        </is>
      </c>
      <c r="C22" s="31">
        <f>IF(S21&lt;Umrechnung!$C$9,E21,C21)</f>
        <v/>
      </c>
      <c r="D22" s="31">
        <f>IF(S21&lt;Umrechnung!$C$9,D21,E21)</f>
        <v/>
      </c>
      <c r="E22" s="31">
        <f>(C22+D22)/2</f>
        <v/>
      </c>
      <c r="F22" s="31">
        <f>MIN(E22,MAX(0,Parameter!$C$43*Umrechnung!$C$6-K22))</f>
        <v/>
      </c>
      <c r="G22" s="31">
        <f>MIN(Umrechnung!$C$5,Umrechnung!$C$6)-MIN(Umrechnung!$C$5-F22,Umrechnung!$C$6)</f>
        <v/>
      </c>
      <c r="H22" s="31">
        <f>MIN(Umrechnung!$C$5,Umrechnung!$C$7)-MIN(Umrechnung!$C$5-F22,Umrechnung!$C$7)</f>
        <v/>
      </c>
      <c r="I22" s="31">
        <f>G22*(Parameter!$C$10+Parameter!$C$11)+H22*((Parameter!$C$12+Parameter!$C$13)/2+Parameter!$C$58)</f>
        <v/>
      </c>
      <c r="J22" s="31">
        <f>G22*(Parameter!$C$10+Parameter!$C$11)+H22*((Parameter!$C$12+Parameter!$C$13)/2+Parameter!$C$15)</f>
        <v/>
      </c>
      <c r="K22" s="31">
        <f>IF(E22/12+0.000000001&lt;Eingaben!$C$29,0,12*Eingaben!$C$27)</f>
        <v/>
      </c>
      <c r="L22" s="31">
        <f>IF(Eingaben!$C$30=2,MIN(Eingaben!$C$26*E22,J22),Eingaben!$C$26*IF(Eingaben!$C$30=1,F22,E22))+K22</f>
        <v/>
      </c>
      <c r="M22" s="31">
        <f>MIN(E22,MAX(0,Parameter!$C$42*Umrechnung!$C$6-L22))</f>
        <v/>
      </c>
      <c r="N22" s="31">
        <f>MIN(Umrechnung!$C$5-F22,Umrechnung!$C$6)*Parameter!$C$10+MIN(Umrechnung!$C$5-F22,Umrechnung!$C$7)*(0.96*(Parameter!$C$12+Parameter!$C$13)/2+Parameter!$C$58)</f>
        <v/>
      </c>
      <c r="O22" s="31">
        <f>MAX(0,Umrechnung!$C$5-M22-Parameter!$C$32-Parameter!$C$33-N22)</f>
        <v/>
      </c>
      <c r="P22" s="31">
        <f>MAX(0,(O22+IF(Eingaben!$C$14=3,Eingaben!$C$15,0))/Parameter!$C$57/Umrechnung!$C$8)</f>
        <v/>
      </c>
      <c r="Q22" s="31">
        <f>Parameter!$C$57*Umrechnung!$C$8*(IF(P22&lt;=Parameter!$C$18,0,IF(P22&lt;=Parameter!$C$19,(Parameter!$C$22*(P22-Parameter!$C$18)/10000+Parameter!$C$23)*(P22-Parameter!$C$18)/10000,IF(P22&lt;=Parameter!$C$20,(Parameter!$C$24*(P22-Parameter!$C$19)/10000+Parameter!$C$25)*(P22-Parameter!$C$19)/10000+Parameter!$C$26,IF(P22&lt;=Parameter!$C$21,0.42*P22-Parameter!$C$27,0.45*P22-Parameter!$C$28)))))</f>
        <v/>
      </c>
      <c r="R22" s="31">
        <f>Q22+IF(Q22&lt;=(Parameter!$C$30*Parameter!$C$57*Umrechnung!$C$8),0,MIN(Parameter!$C$29*Q22,Parameter!$C$31*(Q22-(Parameter!$C$30*Parameter!$C$57*Umrechnung!$C$8))))+Eingaben!$C$16*Q22</f>
        <v/>
      </c>
      <c r="S22" s="31">
        <f>E22-I22-(Umrechnung!$C$14-R22)</f>
        <v/>
      </c>
    </row>
    <row r="23">
      <c r="B23" s="32" t="inlineStr">
        <is>
          <t>6</t>
        </is>
      </c>
      <c r="C23" s="33">
        <f>IF(S22&lt;Umrechnung!$C$9,E22,C22)</f>
        <v/>
      </c>
      <c r="D23" s="33">
        <f>IF(S22&lt;Umrechnung!$C$9,D22,E22)</f>
        <v/>
      </c>
      <c r="E23" s="33">
        <f>(C23+D23)/2</f>
        <v/>
      </c>
      <c r="F23" s="33">
        <f>MIN(E23,MAX(0,Parameter!$C$43*Umrechnung!$C$6-K23))</f>
        <v/>
      </c>
      <c r="G23" s="33">
        <f>MIN(Umrechnung!$C$5,Umrechnung!$C$6)-MIN(Umrechnung!$C$5-F23,Umrechnung!$C$6)</f>
        <v/>
      </c>
      <c r="H23" s="33">
        <f>MIN(Umrechnung!$C$5,Umrechnung!$C$7)-MIN(Umrechnung!$C$5-F23,Umrechnung!$C$7)</f>
        <v/>
      </c>
      <c r="I23" s="33">
        <f>G23*(Parameter!$C$10+Parameter!$C$11)+H23*((Parameter!$C$12+Parameter!$C$13)/2+Parameter!$C$58)</f>
        <v/>
      </c>
      <c r="J23" s="33">
        <f>G23*(Parameter!$C$10+Parameter!$C$11)+H23*((Parameter!$C$12+Parameter!$C$13)/2+Parameter!$C$15)</f>
        <v/>
      </c>
      <c r="K23" s="33">
        <f>IF(E23/12+0.000000001&lt;Eingaben!$C$29,0,12*Eingaben!$C$27)</f>
        <v/>
      </c>
      <c r="L23" s="33">
        <f>IF(Eingaben!$C$30=2,MIN(Eingaben!$C$26*E23,J23),Eingaben!$C$26*IF(Eingaben!$C$30=1,F23,E23))+K23</f>
        <v/>
      </c>
      <c r="M23" s="33">
        <f>MIN(E23,MAX(0,Parameter!$C$42*Umrechnung!$C$6-L23))</f>
        <v/>
      </c>
      <c r="N23" s="33">
        <f>MIN(Umrechnung!$C$5-F23,Umrechnung!$C$6)*Parameter!$C$10+MIN(Umrechnung!$C$5-F23,Umrechnung!$C$7)*(0.96*(Parameter!$C$12+Parameter!$C$13)/2+Parameter!$C$58)</f>
        <v/>
      </c>
      <c r="O23" s="33">
        <f>MAX(0,Umrechnung!$C$5-M23-Parameter!$C$32-Parameter!$C$33-N23)</f>
        <v/>
      </c>
      <c r="P23" s="33">
        <f>MAX(0,(O23+IF(Eingaben!$C$14=3,Eingaben!$C$15,0))/Parameter!$C$57/Umrechnung!$C$8)</f>
        <v/>
      </c>
      <c r="Q23" s="33">
        <f>Parameter!$C$57*Umrechnung!$C$8*(IF(P23&lt;=Parameter!$C$18,0,IF(P23&lt;=Parameter!$C$19,(Parameter!$C$22*(P23-Parameter!$C$18)/10000+Parameter!$C$23)*(P23-Parameter!$C$18)/10000,IF(P23&lt;=Parameter!$C$20,(Parameter!$C$24*(P23-Parameter!$C$19)/10000+Parameter!$C$25)*(P23-Parameter!$C$19)/10000+Parameter!$C$26,IF(P23&lt;=Parameter!$C$21,0.42*P23-Parameter!$C$27,0.45*P23-Parameter!$C$28)))))</f>
        <v/>
      </c>
      <c r="R23" s="33">
        <f>Q23+IF(Q23&lt;=(Parameter!$C$30*Parameter!$C$57*Umrechnung!$C$8),0,MIN(Parameter!$C$29*Q23,Parameter!$C$31*(Q23-(Parameter!$C$30*Parameter!$C$57*Umrechnung!$C$8))))+Eingaben!$C$16*Q23</f>
        <v/>
      </c>
      <c r="S23" s="33">
        <f>E23-I23-(Umrechnung!$C$14-R23)</f>
        <v/>
      </c>
    </row>
    <row r="24">
      <c r="B24" s="30" t="inlineStr">
        <is>
          <t>7</t>
        </is>
      </c>
      <c r="C24" s="31">
        <f>IF(S23&lt;Umrechnung!$C$9,E23,C23)</f>
        <v/>
      </c>
      <c r="D24" s="31">
        <f>IF(S23&lt;Umrechnung!$C$9,D23,E23)</f>
        <v/>
      </c>
      <c r="E24" s="31">
        <f>(C24+D24)/2</f>
        <v/>
      </c>
      <c r="F24" s="31">
        <f>MIN(E24,MAX(0,Parameter!$C$43*Umrechnung!$C$6-K24))</f>
        <v/>
      </c>
      <c r="G24" s="31">
        <f>MIN(Umrechnung!$C$5,Umrechnung!$C$6)-MIN(Umrechnung!$C$5-F24,Umrechnung!$C$6)</f>
        <v/>
      </c>
      <c r="H24" s="31">
        <f>MIN(Umrechnung!$C$5,Umrechnung!$C$7)-MIN(Umrechnung!$C$5-F24,Umrechnung!$C$7)</f>
        <v/>
      </c>
      <c r="I24" s="31">
        <f>G24*(Parameter!$C$10+Parameter!$C$11)+H24*((Parameter!$C$12+Parameter!$C$13)/2+Parameter!$C$58)</f>
        <v/>
      </c>
      <c r="J24" s="31">
        <f>G24*(Parameter!$C$10+Parameter!$C$11)+H24*((Parameter!$C$12+Parameter!$C$13)/2+Parameter!$C$15)</f>
        <v/>
      </c>
      <c r="K24" s="31">
        <f>IF(E24/12+0.000000001&lt;Eingaben!$C$29,0,12*Eingaben!$C$27)</f>
        <v/>
      </c>
      <c r="L24" s="31">
        <f>IF(Eingaben!$C$30=2,MIN(Eingaben!$C$26*E24,J24),Eingaben!$C$26*IF(Eingaben!$C$30=1,F24,E24))+K24</f>
        <v/>
      </c>
      <c r="M24" s="31">
        <f>MIN(E24,MAX(0,Parameter!$C$42*Umrechnung!$C$6-L24))</f>
        <v/>
      </c>
      <c r="N24" s="31">
        <f>MIN(Umrechnung!$C$5-F24,Umrechnung!$C$6)*Parameter!$C$10+MIN(Umrechnung!$C$5-F24,Umrechnung!$C$7)*(0.96*(Parameter!$C$12+Parameter!$C$13)/2+Parameter!$C$58)</f>
        <v/>
      </c>
      <c r="O24" s="31">
        <f>MAX(0,Umrechnung!$C$5-M24-Parameter!$C$32-Parameter!$C$33-N24)</f>
        <v/>
      </c>
      <c r="P24" s="31">
        <f>MAX(0,(O24+IF(Eingaben!$C$14=3,Eingaben!$C$15,0))/Parameter!$C$57/Umrechnung!$C$8)</f>
        <v/>
      </c>
      <c r="Q24" s="31">
        <f>Parameter!$C$57*Umrechnung!$C$8*(IF(P24&lt;=Parameter!$C$18,0,IF(P24&lt;=Parameter!$C$19,(Parameter!$C$22*(P24-Parameter!$C$18)/10000+Parameter!$C$23)*(P24-Parameter!$C$18)/10000,IF(P24&lt;=Parameter!$C$20,(Parameter!$C$24*(P24-Parameter!$C$19)/10000+Parameter!$C$25)*(P24-Parameter!$C$19)/10000+Parameter!$C$26,IF(P24&lt;=Parameter!$C$21,0.42*P24-Parameter!$C$27,0.45*P24-Parameter!$C$28)))))</f>
        <v/>
      </c>
      <c r="R24" s="31">
        <f>Q24+IF(Q24&lt;=(Parameter!$C$30*Parameter!$C$57*Umrechnung!$C$8),0,MIN(Parameter!$C$29*Q24,Parameter!$C$31*(Q24-(Parameter!$C$30*Parameter!$C$57*Umrechnung!$C$8))))+Eingaben!$C$16*Q24</f>
        <v/>
      </c>
      <c r="S24" s="31">
        <f>E24-I24-(Umrechnung!$C$14-R24)</f>
        <v/>
      </c>
    </row>
    <row r="25">
      <c r="B25" s="32" t="inlineStr">
        <is>
          <t>8</t>
        </is>
      </c>
      <c r="C25" s="33">
        <f>IF(S24&lt;Umrechnung!$C$9,E24,C24)</f>
        <v/>
      </c>
      <c r="D25" s="33">
        <f>IF(S24&lt;Umrechnung!$C$9,D24,E24)</f>
        <v/>
      </c>
      <c r="E25" s="33">
        <f>(C25+D25)/2</f>
        <v/>
      </c>
      <c r="F25" s="33">
        <f>MIN(E25,MAX(0,Parameter!$C$43*Umrechnung!$C$6-K25))</f>
        <v/>
      </c>
      <c r="G25" s="33">
        <f>MIN(Umrechnung!$C$5,Umrechnung!$C$6)-MIN(Umrechnung!$C$5-F25,Umrechnung!$C$6)</f>
        <v/>
      </c>
      <c r="H25" s="33">
        <f>MIN(Umrechnung!$C$5,Umrechnung!$C$7)-MIN(Umrechnung!$C$5-F25,Umrechnung!$C$7)</f>
        <v/>
      </c>
      <c r="I25" s="33">
        <f>G25*(Parameter!$C$10+Parameter!$C$11)+H25*((Parameter!$C$12+Parameter!$C$13)/2+Parameter!$C$58)</f>
        <v/>
      </c>
      <c r="J25" s="33">
        <f>G25*(Parameter!$C$10+Parameter!$C$11)+H25*((Parameter!$C$12+Parameter!$C$13)/2+Parameter!$C$15)</f>
        <v/>
      </c>
      <c r="K25" s="33">
        <f>IF(E25/12+0.000000001&lt;Eingaben!$C$29,0,12*Eingaben!$C$27)</f>
        <v/>
      </c>
      <c r="L25" s="33">
        <f>IF(Eingaben!$C$30=2,MIN(Eingaben!$C$26*E25,J25),Eingaben!$C$26*IF(Eingaben!$C$30=1,F25,E25))+K25</f>
        <v/>
      </c>
      <c r="M25" s="33">
        <f>MIN(E25,MAX(0,Parameter!$C$42*Umrechnung!$C$6-L25))</f>
        <v/>
      </c>
      <c r="N25" s="33">
        <f>MIN(Umrechnung!$C$5-F25,Umrechnung!$C$6)*Parameter!$C$10+MIN(Umrechnung!$C$5-F25,Umrechnung!$C$7)*(0.96*(Parameter!$C$12+Parameter!$C$13)/2+Parameter!$C$58)</f>
        <v/>
      </c>
      <c r="O25" s="33">
        <f>MAX(0,Umrechnung!$C$5-M25-Parameter!$C$32-Parameter!$C$33-N25)</f>
        <v/>
      </c>
      <c r="P25" s="33">
        <f>MAX(0,(O25+IF(Eingaben!$C$14=3,Eingaben!$C$15,0))/Parameter!$C$57/Umrechnung!$C$8)</f>
        <v/>
      </c>
      <c r="Q25" s="33">
        <f>Parameter!$C$57*Umrechnung!$C$8*(IF(P25&lt;=Parameter!$C$18,0,IF(P25&lt;=Parameter!$C$19,(Parameter!$C$22*(P25-Parameter!$C$18)/10000+Parameter!$C$23)*(P25-Parameter!$C$18)/10000,IF(P25&lt;=Parameter!$C$20,(Parameter!$C$24*(P25-Parameter!$C$19)/10000+Parameter!$C$25)*(P25-Parameter!$C$19)/10000+Parameter!$C$26,IF(P25&lt;=Parameter!$C$21,0.42*P25-Parameter!$C$27,0.45*P25-Parameter!$C$28)))))</f>
        <v/>
      </c>
      <c r="R25" s="33">
        <f>Q25+IF(Q25&lt;=(Parameter!$C$30*Parameter!$C$57*Umrechnung!$C$8),0,MIN(Parameter!$C$29*Q25,Parameter!$C$31*(Q25-(Parameter!$C$30*Parameter!$C$57*Umrechnung!$C$8))))+Eingaben!$C$16*Q25</f>
        <v/>
      </c>
      <c r="S25" s="33">
        <f>E25-I25-(Umrechnung!$C$14-R25)</f>
        <v/>
      </c>
    </row>
    <row r="26">
      <c r="B26" s="30" t="inlineStr">
        <is>
          <t>9</t>
        </is>
      </c>
      <c r="C26" s="31">
        <f>IF(S25&lt;Umrechnung!$C$9,E25,C25)</f>
        <v/>
      </c>
      <c r="D26" s="31">
        <f>IF(S25&lt;Umrechnung!$C$9,D25,E25)</f>
        <v/>
      </c>
      <c r="E26" s="31">
        <f>(C26+D26)/2</f>
        <v/>
      </c>
      <c r="F26" s="31">
        <f>MIN(E26,MAX(0,Parameter!$C$43*Umrechnung!$C$6-K26))</f>
        <v/>
      </c>
      <c r="G26" s="31">
        <f>MIN(Umrechnung!$C$5,Umrechnung!$C$6)-MIN(Umrechnung!$C$5-F26,Umrechnung!$C$6)</f>
        <v/>
      </c>
      <c r="H26" s="31">
        <f>MIN(Umrechnung!$C$5,Umrechnung!$C$7)-MIN(Umrechnung!$C$5-F26,Umrechnung!$C$7)</f>
        <v/>
      </c>
      <c r="I26" s="31">
        <f>G26*(Parameter!$C$10+Parameter!$C$11)+H26*((Parameter!$C$12+Parameter!$C$13)/2+Parameter!$C$58)</f>
        <v/>
      </c>
      <c r="J26" s="31">
        <f>G26*(Parameter!$C$10+Parameter!$C$11)+H26*((Parameter!$C$12+Parameter!$C$13)/2+Parameter!$C$15)</f>
        <v/>
      </c>
      <c r="K26" s="31">
        <f>IF(E26/12+0.000000001&lt;Eingaben!$C$29,0,12*Eingaben!$C$27)</f>
        <v/>
      </c>
      <c r="L26" s="31">
        <f>IF(Eingaben!$C$30=2,MIN(Eingaben!$C$26*E26,J26),Eingaben!$C$26*IF(Eingaben!$C$30=1,F26,E26))+K26</f>
        <v/>
      </c>
      <c r="M26" s="31">
        <f>MIN(E26,MAX(0,Parameter!$C$42*Umrechnung!$C$6-L26))</f>
        <v/>
      </c>
      <c r="N26" s="31">
        <f>MIN(Umrechnung!$C$5-F26,Umrechnung!$C$6)*Parameter!$C$10+MIN(Umrechnung!$C$5-F26,Umrechnung!$C$7)*(0.96*(Parameter!$C$12+Parameter!$C$13)/2+Parameter!$C$58)</f>
        <v/>
      </c>
      <c r="O26" s="31">
        <f>MAX(0,Umrechnung!$C$5-M26-Parameter!$C$32-Parameter!$C$33-N26)</f>
        <v/>
      </c>
      <c r="P26" s="31">
        <f>MAX(0,(O26+IF(Eingaben!$C$14=3,Eingaben!$C$15,0))/Parameter!$C$57/Umrechnung!$C$8)</f>
        <v/>
      </c>
      <c r="Q26" s="31">
        <f>Parameter!$C$57*Umrechnung!$C$8*(IF(P26&lt;=Parameter!$C$18,0,IF(P26&lt;=Parameter!$C$19,(Parameter!$C$22*(P26-Parameter!$C$18)/10000+Parameter!$C$23)*(P26-Parameter!$C$18)/10000,IF(P26&lt;=Parameter!$C$20,(Parameter!$C$24*(P26-Parameter!$C$19)/10000+Parameter!$C$25)*(P26-Parameter!$C$19)/10000+Parameter!$C$26,IF(P26&lt;=Parameter!$C$21,0.42*P26-Parameter!$C$27,0.45*P26-Parameter!$C$28)))))</f>
        <v/>
      </c>
      <c r="R26" s="31">
        <f>Q26+IF(Q26&lt;=(Parameter!$C$30*Parameter!$C$57*Umrechnung!$C$8),0,MIN(Parameter!$C$29*Q26,Parameter!$C$31*(Q26-(Parameter!$C$30*Parameter!$C$57*Umrechnung!$C$8))))+Eingaben!$C$16*Q26</f>
        <v/>
      </c>
      <c r="S26" s="31">
        <f>E26-I26-(Umrechnung!$C$14-R26)</f>
        <v/>
      </c>
    </row>
    <row r="27">
      <c r="B27" s="32" t="inlineStr">
        <is>
          <t>10</t>
        </is>
      </c>
      <c r="C27" s="33">
        <f>IF(S26&lt;Umrechnung!$C$9,E26,C26)</f>
        <v/>
      </c>
      <c r="D27" s="33">
        <f>IF(S26&lt;Umrechnung!$C$9,D26,E26)</f>
        <v/>
      </c>
      <c r="E27" s="33">
        <f>(C27+D27)/2</f>
        <v/>
      </c>
      <c r="F27" s="33">
        <f>MIN(E27,MAX(0,Parameter!$C$43*Umrechnung!$C$6-K27))</f>
        <v/>
      </c>
      <c r="G27" s="33">
        <f>MIN(Umrechnung!$C$5,Umrechnung!$C$6)-MIN(Umrechnung!$C$5-F27,Umrechnung!$C$6)</f>
        <v/>
      </c>
      <c r="H27" s="33">
        <f>MIN(Umrechnung!$C$5,Umrechnung!$C$7)-MIN(Umrechnung!$C$5-F27,Umrechnung!$C$7)</f>
        <v/>
      </c>
      <c r="I27" s="33">
        <f>G27*(Parameter!$C$10+Parameter!$C$11)+H27*((Parameter!$C$12+Parameter!$C$13)/2+Parameter!$C$58)</f>
        <v/>
      </c>
      <c r="J27" s="33">
        <f>G27*(Parameter!$C$10+Parameter!$C$11)+H27*((Parameter!$C$12+Parameter!$C$13)/2+Parameter!$C$15)</f>
        <v/>
      </c>
      <c r="K27" s="33">
        <f>IF(E27/12+0.000000001&lt;Eingaben!$C$29,0,12*Eingaben!$C$27)</f>
        <v/>
      </c>
      <c r="L27" s="33">
        <f>IF(Eingaben!$C$30=2,MIN(Eingaben!$C$26*E27,J27),Eingaben!$C$26*IF(Eingaben!$C$30=1,F27,E27))+K27</f>
        <v/>
      </c>
      <c r="M27" s="33">
        <f>MIN(E27,MAX(0,Parameter!$C$42*Umrechnung!$C$6-L27))</f>
        <v/>
      </c>
      <c r="N27" s="33">
        <f>MIN(Umrechnung!$C$5-F27,Umrechnung!$C$6)*Parameter!$C$10+MIN(Umrechnung!$C$5-F27,Umrechnung!$C$7)*(0.96*(Parameter!$C$12+Parameter!$C$13)/2+Parameter!$C$58)</f>
        <v/>
      </c>
      <c r="O27" s="33">
        <f>MAX(0,Umrechnung!$C$5-M27-Parameter!$C$32-Parameter!$C$33-N27)</f>
        <v/>
      </c>
      <c r="P27" s="33">
        <f>MAX(0,(O27+IF(Eingaben!$C$14=3,Eingaben!$C$15,0))/Parameter!$C$57/Umrechnung!$C$8)</f>
        <v/>
      </c>
      <c r="Q27" s="33">
        <f>Parameter!$C$57*Umrechnung!$C$8*(IF(P27&lt;=Parameter!$C$18,0,IF(P27&lt;=Parameter!$C$19,(Parameter!$C$22*(P27-Parameter!$C$18)/10000+Parameter!$C$23)*(P27-Parameter!$C$18)/10000,IF(P27&lt;=Parameter!$C$20,(Parameter!$C$24*(P27-Parameter!$C$19)/10000+Parameter!$C$25)*(P27-Parameter!$C$19)/10000+Parameter!$C$26,IF(P27&lt;=Parameter!$C$21,0.42*P27-Parameter!$C$27,0.45*P27-Parameter!$C$28)))))</f>
        <v/>
      </c>
      <c r="R27" s="33">
        <f>Q27+IF(Q27&lt;=(Parameter!$C$30*Parameter!$C$57*Umrechnung!$C$8),0,MIN(Parameter!$C$29*Q27,Parameter!$C$31*(Q27-(Parameter!$C$30*Parameter!$C$57*Umrechnung!$C$8))))+Eingaben!$C$16*Q27</f>
        <v/>
      </c>
      <c r="S27" s="33">
        <f>E27-I27-(Umrechnung!$C$14-R27)</f>
        <v/>
      </c>
    </row>
    <row r="28">
      <c r="B28" s="30" t="inlineStr">
        <is>
          <t>11</t>
        </is>
      </c>
      <c r="C28" s="31">
        <f>IF(S27&lt;Umrechnung!$C$9,E27,C27)</f>
        <v/>
      </c>
      <c r="D28" s="31">
        <f>IF(S27&lt;Umrechnung!$C$9,D27,E27)</f>
        <v/>
      </c>
      <c r="E28" s="31">
        <f>(C28+D28)/2</f>
        <v/>
      </c>
      <c r="F28" s="31">
        <f>MIN(E28,MAX(0,Parameter!$C$43*Umrechnung!$C$6-K28))</f>
        <v/>
      </c>
      <c r="G28" s="31">
        <f>MIN(Umrechnung!$C$5,Umrechnung!$C$6)-MIN(Umrechnung!$C$5-F28,Umrechnung!$C$6)</f>
        <v/>
      </c>
      <c r="H28" s="31">
        <f>MIN(Umrechnung!$C$5,Umrechnung!$C$7)-MIN(Umrechnung!$C$5-F28,Umrechnung!$C$7)</f>
        <v/>
      </c>
      <c r="I28" s="31">
        <f>G28*(Parameter!$C$10+Parameter!$C$11)+H28*((Parameter!$C$12+Parameter!$C$13)/2+Parameter!$C$58)</f>
        <v/>
      </c>
      <c r="J28" s="31">
        <f>G28*(Parameter!$C$10+Parameter!$C$11)+H28*((Parameter!$C$12+Parameter!$C$13)/2+Parameter!$C$15)</f>
        <v/>
      </c>
      <c r="K28" s="31">
        <f>IF(E28/12+0.000000001&lt;Eingaben!$C$29,0,12*Eingaben!$C$27)</f>
        <v/>
      </c>
      <c r="L28" s="31">
        <f>IF(Eingaben!$C$30=2,MIN(Eingaben!$C$26*E28,J28),Eingaben!$C$26*IF(Eingaben!$C$30=1,F28,E28))+K28</f>
        <v/>
      </c>
      <c r="M28" s="31">
        <f>MIN(E28,MAX(0,Parameter!$C$42*Umrechnung!$C$6-L28))</f>
        <v/>
      </c>
      <c r="N28" s="31">
        <f>MIN(Umrechnung!$C$5-F28,Umrechnung!$C$6)*Parameter!$C$10+MIN(Umrechnung!$C$5-F28,Umrechnung!$C$7)*(0.96*(Parameter!$C$12+Parameter!$C$13)/2+Parameter!$C$58)</f>
        <v/>
      </c>
      <c r="O28" s="31">
        <f>MAX(0,Umrechnung!$C$5-M28-Parameter!$C$32-Parameter!$C$33-N28)</f>
        <v/>
      </c>
      <c r="P28" s="31">
        <f>MAX(0,(O28+IF(Eingaben!$C$14=3,Eingaben!$C$15,0))/Parameter!$C$57/Umrechnung!$C$8)</f>
        <v/>
      </c>
      <c r="Q28" s="31">
        <f>Parameter!$C$57*Umrechnung!$C$8*(IF(P28&lt;=Parameter!$C$18,0,IF(P28&lt;=Parameter!$C$19,(Parameter!$C$22*(P28-Parameter!$C$18)/10000+Parameter!$C$23)*(P28-Parameter!$C$18)/10000,IF(P28&lt;=Parameter!$C$20,(Parameter!$C$24*(P28-Parameter!$C$19)/10000+Parameter!$C$25)*(P28-Parameter!$C$19)/10000+Parameter!$C$26,IF(P28&lt;=Parameter!$C$21,0.42*P28-Parameter!$C$27,0.45*P28-Parameter!$C$28)))))</f>
        <v/>
      </c>
      <c r="R28" s="31">
        <f>Q28+IF(Q28&lt;=(Parameter!$C$30*Parameter!$C$57*Umrechnung!$C$8),0,MIN(Parameter!$C$29*Q28,Parameter!$C$31*(Q28-(Parameter!$C$30*Parameter!$C$57*Umrechnung!$C$8))))+Eingaben!$C$16*Q28</f>
        <v/>
      </c>
      <c r="S28" s="31">
        <f>E28-I28-(Umrechnung!$C$14-R28)</f>
        <v/>
      </c>
    </row>
    <row r="29">
      <c r="B29" s="32" t="inlineStr">
        <is>
          <t>12</t>
        </is>
      </c>
      <c r="C29" s="33">
        <f>IF(S28&lt;Umrechnung!$C$9,E28,C28)</f>
        <v/>
      </c>
      <c r="D29" s="33">
        <f>IF(S28&lt;Umrechnung!$C$9,D28,E28)</f>
        <v/>
      </c>
      <c r="E29" s="33">
        <f>(C29+D29)/2</f>
        <v/>
      </c>
      <c r="F29" s="33">
        <f>MIN(E29,MAX(0,Parameter!$C$43*Umrechnung!$C$6-K29))</f>
        <v/>
      </c>
      <c r="G29" s="33">
        <f>MIN(Umrechnung!$C$5,Umrechnung!$C$6)-MIN(Umrechnung!$C$5-F29,Umrechnung!$C$6)</f>
        <v/>
      </c>
      <c r="H29" s="33">
        <f>MIN(Umrechnung!$C$5,Umrechnung!$C$7)-MIN(Umrechnung!$C$5-F29,Umrechnung!$C$7)</f>
        <v/>
      </c>
      <c r="I29" s="33">
        <f>G29*(Parameter!$C$10+Parameter!$C$11)+H29*((Parameter!$C$12+Parameter!$C$13)/2+Parameter!$C$58)</f>
        <v/>
      </c>
      <c r="J29" s="33">
        <f>G29*(Parameter!$C$10+Parameter!$C$11)+H29*((Parameter!$C$12+Parameter!$C$13)/2+Parameter!$C$15)</f>
        <v/>
      </c>
      <c r="K29" s="33">
        <f>IF(E29/12+0.000000001&lt;Eingaben!$C$29,0,12*Eingaben!$C$27)</f>
        <v/>
      </c>
      <c r="L29" s="33">
        <f>IF(Eingaben!$C$30=2,MIN(Eingaben!$C$26*E29,J29),Eingaben!$C$26*IF(Eingaben!$C$30=1,F29,E29))+K29</f>
        <v/>
      </c>
      <c r="M29" s="33">
        <f>MIN(E29,MAX(0,Parameter!$C$42*Umrechnung!$C$6-L29))</f>
        <v/>
      </c>
      <c r="N29" s="33">
        <f>MIN(Umrechnung!$C$5-F29,Umrechnung!$C$6)*Parameter!$C$10+MIN(Umrechnung!$C$5-F29,Umrechnung!$C$7)*(0.96*(Parameter!$C$12+Parameter!$C$13)/2+Parameter!$C$58)</f>
        <v/>
      </c>
      <c r="O29" s="33">
        <f>MAX(0,Umrechnung!$C$5-M29-Parameter!$C$32-Parameter!$C$33-N29)</f>
        <v/>
      </c>
      <c r="P29" s="33">
        <f>MAX(0,(O29+IF(Eingaben!$C$14=3,Eingaben!$C$15,0))/Parameter!$C$57/Umrechnung!$C$8)</f>
        <v/>
      </c>
      <c r="Q29" s="33">
        <f>Parameter!$C$57*Umrechnung!$C$8*(IF(P29&lt;=Parameter!$C$18,0,IF(P29&lt;=Parameter!$C$19,(Parameter!$C$22*(P29-Parameter!$C$18)/10000+Parameter!$C$23)*(P29-Parameter!$C$18)/10000,IF(P29&lt;=Parameter!$C$20,(Parameter!$C$24*(P29-Parameter!$C$19)/10000+Parameter!$C$25)*(P29-Parameter!$C$19)/10000+Parameter!$C$26,IF(P29&lt;=Parameter!$C$21,0.42*P29-Parameter!$C$27,0.45*P29-Parameter!$C$28)))))</f>
        <v/>
      </c>
      <c r="R29" s="33">
        <f>Q29+IF(Q29&lt;=(Parameter!$C$30*Parameter!$C$57*Umrechnung!$C$8),0,MIN(Parameter!$C$29*Q29,Parameter!$C$31*(Q29-(Parameter!$C$30*Parameter!$C$57*Umrechnung!$C$8))))+Eingaben!$C$16*Q29</f>
        <v/>
      </c>
      <c r="S29" s="33">
        <f>E29-I29-(Umrechnung!$C$14-R29)</f>
        <v/>
      </c>
    </row>
    <row r="30">
      <c r="B30" s="30" t="inlineStr">
        <is>
          <t>13</t>
        </is>
      </c>
      <c r="C30" s="31">
        <f>IF(S29&lt;Umrechnung!$C$9,E29,C29)</f>
        <v/>
      </c>
      <c r="D30" s="31">
        <f>IF(S29&lt;Umrechnung!$C$9,D29,E29)</f>
        <v/>
      </c>
      <c r="E30" s="31">
        <f>(C30+D30)/2</f>
        <v/>
      </c>
      <c r="F30" s="31">
        <f>MIN(E30,MAX(0,Parameter!$C$43*Umrechnung!$C$6-K30))</f>
        <v/>
      </c>
      <c r="G30" s="31">
        <f>MIN(Umrechnung!$C$5,Umrechnung!$C$6)-MIN(Umrechnung!$C$5-F30,Umrechnung!$C$6)</f>
        <v/>
      </c>
      <c r="H30" s="31">
        <f>MIN(Umrechnung!$C$5,Umrechnung!$C$7)-MIN(Umrechnung!$C$5-F30,Umrechnung!$C$7)</f>
        <v/>
      </c>
      <c r="I30" s="31">
        <f>G30*(Parameter!$C$10+Parameter!$C$11)+H30*((Parameter!$C$12+Parameter!$C$13)/2+Parameter!$C$58)</f>
        <v/>
      </c>
      <c r="J30" s="31">
        <f>G30*(Parameter!$C$10+Parameter!$C$11)+H30*((Parameter!$C$12+Parameter!$C$13)/2+Parameter!$C$15)</f>
        <v/>
      </c>
      <c r="K30" s="31">
        <f>IF(E30/12+0.000000001&lt;Eingaben!$C$29,0,12*Eingaben!$C$27)</f>
        <v/>
      </c>
      <c r="L30" s="31">
        <f>IF(Eingaben!$C$30=2,MIN(Eingaben!$C$26*E30,J30),Eingaben!$C$26*IF(Eingaben!$C$30=1,F30,E30))+K30</f>
        <v/>
      </c>
      <c r="M30" s="31">
        <f>MIN(E30,MAX(0,Parameter!$C$42*Umrechnung!$C$6-L30))</f>
        <v/>
      </c>
      <c r="N30" s="31">
        <f>MIN(Umrechnung!$C$5-F30,Umrechnung!$C$6)*Parameter!$C$10+MIN(Umrechnung!$C$5-F30,Umrechnung!$C$7)*(0.96*(Parameter!$C$12+Parameter!$C$13)/2+Parameter!$C$58)</f>
        <v/>
      </c>
      <c r="O30" s="31">
        <f>MAX(0,Umrechnung!$C$5-M30-Parameter!$C$32-Parameter!$C$33-N30)</f>
        <v/>
      </c>
      <c r="P30" s="31">
        <f>MAX(0,(O30+IF(Eingaben!$C$14=3,Eingaben!$C$15,0))/Parameter!$C$57/Umrechnung!$C$8)</f>
        <v/>
      </c>
      <c r="Q30" s="31">
        <f>Parameter!$C$57*Umrechnung!$C$8*(IF(P30&lt;=Parameter!$C$18,0,IF(P30&lt;=Parameter!$C$19,(Parameter!$C$22*(P30-Parameter!$C$18)/10000+Parameter!$C$23)*(P30-Parameter!$C$18)/10000,IF(P30&lt;=Parameter!$C$20,(Parameter!$C$24*(P30-Parameter!$C$19)/10000+Parameter!$C$25)*(P30-Parameter!$C$19)/10000+Parameter!$C$26,IF(P30&lt;=Parameter!$C$21,0.42*P30-Parameter!$C$27,0.45*P30-Parameter!$C$28)))))</f>
        <v/>
      </c>
      <c r="R30" s="31">
        <f>Q30+IF(Q30&lt;=(Parameter!$C$30*Parameter!$C$57*Umrechnung!$C$8),0,MIN(Parameter!$C$29*Q30,Parameter!$C$31*(Q30-(Parameter!$C$30*Parameter!$C$57*Umrechnung!$C$8))))+Eingaben!$C$16*Q30</f>
        <v/>
      </c>
      <c r="S30" s="31">
        <f>E30-I30-(Umrechnung!$C$14-R30)</f>
        <v/>
      </c>
    </row>
    <row r="31">
      <c r="B31" s="32" t="inlineStr">
        <is>
          <t>14</t>
        </is>
      </c>
      <c r="C31" s="33">
        <f>IF(S30&lt;Umrechnung!$C$9,E30,C30)</f>
        <v/>
      </c>
      <c r="D31" s="33">
        <f>IF(S30&lt;Umrechnung!$C$9,D30,E30)</f>
        <v/>
      </c>
      <c r="E31" s="33">
        <f>(C31+D31)/2</f>
        <v/>
      </c>
      <c r="F31" s="33">
        <f>MIN(E31,MAX(0,Parameter!$C$43*Umrechnung!$C$6-K31))</f>
        <v/>
      </c>
      <c r="G31" s="33">
        <f>MIN(Umrechnung!$C$5,Umrechnung!$C$6)-MIN(Umrechnung!$C$5-F31,Umrechnung!$C$6)</f>
        <v/>
      </c>
      <c r="H31" s="33">
        <f>MIN(Umrechnung!$C$5,Umrechnung!$C$7)-MIN(Umrechnung!$C$5-F31,Umrechnung!$C$7)</f>
        <v/>
      </c>
      <c r="I31" s="33">
        <f>G31*(Parameter!$C$10+Parameter!$C$11)+H31*((Parameter!$C$12+Parameter!$C$13)/2+Parameter!$C$58)</f>
        <v/>
      </c>
      <c r="J31" s="33">
        <f>G31*(Parameter!$C$10+Parameter!$C$11)+H31*((Parameter!$C$12+Parameter!$C$13)/2+Parameter!$C$15)</f>
        <v/>
      </c>
      <c r="K31" s="33">
        <f>IF(E31/12+0.000000001&lt;Eingaben!$C$29,0,12*Eingaben!$C$27)</f>
        <v/>
      </c>
      <c r="L31" s="33">
        <f>IF(Eingaben!$C$30=2,MIN(Eingaben!$C$26*E31,J31),Eingaben!$C$26*IF(Eingaben!$C$30=1,F31,E31))+K31</f>
        <v/>
      </c>
      <c r="M31" s="33">
        <f>MIN(E31,MAX(0,Parameter!$C$42*Umrechnung!$C$6-L31))</f>
        <v/>
      </c>
      <c r="N31" s="33">
        <f>MIN(Umrechnung!$C$5-F31,Umrechnung!$C$6)*Parameter!$C$10+MIN(Umrechnung!$C$5-F31,Umrechnung!$C$7)*(0.96*(Parameter!$C$12+Parameter!$C$13)/2+Parameter!$C$58)</f>
        <v/>
      </c>
      <c r="O31" s="33">
        <f>MAX(0,Umrechnung!$C$5-M31-Parameter!$C$32-Parameter!$C$33-N31)</f>
        <v/>
      </c>
      <c r="P31" s="33">
        <f>MAX(0,(O31+IF(Eingaben!$C$14=3,Eingaben!$C$15,0))/Parameter!$C$57/Umrechnung!$C$8)</f>
        <v/>
      </c>
      <c r="Q31" s="33">
        <f>Parameter!$C$57*Umrechnung!$C$8*(IF(P31&lt;=Parameter!$C$18,0,IF(P31&lt;=Parameter!$C$19,(Parameter!$C$22*(P31-Parameter!$C$18)/10000+Parameter!$C$23)*(P31-Parameter!$C$18)/10000,IF(P31&lt;=Parameter!$C$20,(Parameter!$C$24*(P31-Parameter!$C$19)/10000+Parameter!$C$25)*(P31-Parameter!$C$19)/10000+Parameter!$C$26,IF(P31&lt;=Parameter!$C$21,0.42*P31-Parameter!$C$27,0.45*P31-Parameter!$C$28)))))</f>
        <v/>
      </c>
      <c r="R31" s="33">
        <f>Q31+IF(Q31&lt;=(Parameter!$C$30*Parameter!$C$57*Umrechnung!$C$8),0,MIN(Parameter!$C$29*Q31,Parameter!$C$31*(Q31-(Parameter!$C$30*Parameter!$C$57*Umrechnung!$C$8))))+Eingaben!$C$16*Q31</f>
        <v/>
      </c>
      <c r="S31" s="33">
        <f>E31-I31-(Umrechnung!$C$14-R31)</f>
        <v/>
      </c>
    </row>
    <row r="32">
      <c r="B32" s="30" t="inlineStr">
        <is>
          <t>15</t>
        </is>
      </c>
      <c r="C32" s="31">
        <f>IF(S31&lt;Umrechnung!$C$9,E31,C31)</f>
        <v/>
      </c>
      <c r="D32" s="31">
        <f>IF(S31&lt;Umrechnung!$C$9,D31,E31)</f>
        <v/>
      </c>
      <c r="E32" s="31">
        <f>(C32+D32)/2</f>
        <v/>
      </c>
      <c r="F32" s="31">
        <f>MIN(E32,MAX(0,Parameter!$C$43*Umrechnung!$C$6-K32))</f>
        <v/>
      </c>
      <c r="G32" s="31">
        <f>MIN(Umrechnung!$C$5,Umrechnung!$C$6)-MIN(Umrechnung!$C$5-F32,Umrechnung!$C$6)</f>
        <v/>
      </c>
      <c r="H32" s="31">
        <f>MIN(Umrechnung!$C$5,Umrechnung!$C$7)-MIN(Umrechnung!$C$5-F32,Umrechnung!$C$7)</f>
        <v/>
      </c>
      <c r="I32" s="31">
        <f>G32*(Parameter!$C$10+Parameter!$C$11)+H32*((Parameter!$C$12+Parameter!$C$13)/2+Parameter!$C$58)</f>
        <v/>
      </c>
      <c r="J32" s="31">
        <f>G32*(Parameter!$C$10+Parameter!$C$11)+H32*((Parameter!$C$12+Parameter!$C$13)/2+Parameter!$C$15)</f>
        <v/>
      </c>
      <c r="K32" s="31">
        <f>IF(E32/12+0.000000001&lt;Eingaben!$C$29,0,12*Eingaben!$C$27)</f>
        <v/>
      </c>
      <c r="L32" s="31">
        <f>IF(Eingaben!$C$30=2,MIN(Eingaben!$C$26*E32,J32),Eingaben!$C$26*IF(Eingaben!$C$30=1,F32,E32))+K32</f>
        <v/>
      </c>
      <c r="M32" s="31">
        <f>MIN(E32,MAX(0,Parameter!$C$42*Umrechnung!$C$6-L32))</f>
        <v/>
      </c>
      <c r="N32" s="31">
        <f>MIN(Umrechnung!$C$5-F32,Umrechnung!$C$6)*Parameter!$C$10+MIN(Umrechnung!$C$5-F32,Umrechnung!$C$7)*(0.96*(Parameter!$C$12+Parameter!$C$13)/2+Parameter!$C$58)</f>
        <v/>
      </c>
      <c r="O32" s="31">
        <f>MAX(0,Umrechnung!$C$5-M32-Parameter!$C$32-Parameter!$C$33-N32)</f>
        <v/>
      </c>
      <c r="P32" s="31">
        <f>MAX(0,(O32+IF(Eingaben!$C$14=3,Eingaben!$C$15,0))/Parameter!$C$57/Umrechnung!$C$8)</f>
        <v/>
      </c>
      <c r="Q32" s="31">
        <f>Parameter!$C$57*Umrechnung!$C$8*(IF(P32&lt;=Parameter!$C$18,0,IF(P32&lt;=Parameter!$C$19,(Parameter!$C$22*(P32-Parameter!$C$18)/10000+Parameter!$C$23)*(P32-Parameter!$C$18)/10000,IF(P32&lt;=Parameter!$C$20,(Parameter!$C$24*(P32-Parameter!$C$19)/10000+Parameter!$C$25)*(P32-Parameter!$C$19)/10000+Parameter!$C$26,IF(P32&lt;=Parameter!$C$21,0.42*P32-Parameter!$C$27,0.45*P32-Parameter!$C$28)))))</f>
        <v/>
      </c>
      <c r="R32" s="31">
        <f>Q32+IF(Q32&lt;=(Parameter!$C$30*Parameter!$C$57*Umrechnung!$C$8),0,MIN(Parameter!$C$29*Q32,Parameter!$C$31*(Q32-(Parameter!$C$30*Parameter!$C$57*Umrechnung!$C$8))))+Eingaben!$C$16*Q32</f>
        <v/>
      </c>
      <c r="S32" s="31">
        <f>E32-I32-(Umrechnung!$C$14-R32)</f>
        <v/>
      </c>
    </row>
    <row r="33">
      <c r="B33" s="32" t="inlineStr">
        <is>
          <t>16</t>
        </is>
      </c>
      <c r="C33" s="33">
        <f>IF(S32&lt;Umrechnung!$C$9,E32,C32)</f>
        <v/>
      </c>
      <c r="D33" s="33">
        <f>IF(S32&lt;Umrechnung!$C$9,D32,E32)</f>
        <v/>
      </c>
      <c r="E33" s="33">
        <f>(C33+D33)/2</f>
        <v/>
      </c>
      <c r="F33" s="33">
        <f>MIN(E33,MAX(0,Parameter!$C$43*Umrechnung!$C$6-K33))</f>
        <v/>
      </c>
      <c r="G33" s="33">
        <f>MIN(Umrechnung!$C$5,Umrechnung!$C$6)-MIN(Umrechnung!$C$5-F33,Umrechnung!$C$6)</f>
        <v/>
      </c>
      <c r="H33" s="33">
        <f>MIN(Umrechnung!$C$5,Umrechnung!$C$7)-MIN(Umrechnung!$C$5-F33,Umrechnung!$C$7)</f>
        <v/>
      </c>
      <c r="I33" s="33">
        <f>G33*(Parameter!$C$10+Parameter!$C$11)+H33*((Parameter!$C$12+Parameter!$C$13)/2+Parameter!$C$58)</f>
        <v/>
      </c>
      <c r="J33" s="33">
        <f>G33*(Parameter!$C$10+Parameter!$C$11)+H33*((Parameter!$C$12+Parameter!$C$13)/2+Parameter!$C$15)</f>
        <v/>
      </c>
      <c r="K33" s="33">
        <f>IF(E33/12+0.000000001&lt;Eingaben!$C$29,0,12*Eingaben!$C$27)</f>
        <v/>
      </c>
      <c r="L33" s="33">
        <f>IF(Eingaben!$C$30=2,MIN(Eingaben!$C$26*E33,J33),Eingaben!$C$26*IF(Eingaben!$C$30=1,F33,E33))+K33</f>
        <v/>
      </c>
      <c r="M33" s="33">
        <f>MIN(E33,MAX(0,Parameter!$C$42*Umrechnung!$C$6-L33))</f>
        <v/>
      </c>
      <c r="N33" s="33">
        <f>MIN(Umrechnung!$C$5-F33,Umrechnung!$C$6)*Parameter!$C$10+MIN(Umrechnung!$C$5-F33,Umrechnung!$C$7)*(0.96*(Parameter!$C$12+Parameter!$C$13)/2+Parameter!$C$58)</f>
        <v/>
      </c>
      <c r="O33" s="33">
        <f>MAX(0,Umrechnung!$C$5-M33-Parameter!$C$32-Parameter!$C$33-N33)</f>
        <v/>
      </c>
      <c r="P33" s="33">
        <f>MAX(0,(O33+IF(Eingaben!$C$14=3,Eingaben!$C$15,0))/Parameter!$C$57/Umrechnung!$C$8)</f>
        <v/>
      </c>
      <c r="Q33" s="33">
        <f>Parameter!$C$57*Umrechnung!$C$8*(IF(P33&lt;=Parameter!$C$18,0,IF(P33&lt;=Parameter!$C$19,(Parameter!$C$22*(P33-Parameter!$C$18)/10000+Parameter!$C$23)*(P33-Parameter!$C$18)/10000,IF(P33&lt;=Parameter!$C$20,(Parameter!$C$24*(P33-Parameter!$C$19)/10000+Parameter!$C$25)*(P33-Parameter!$C$19)/10000+Parameter!$C$26,IF(P33&lt;=Parameter!$C$21,0.42*P33-Parameter!$C$27,0.45*P33-Parameter!$C$28)))))</f>
        <v/>
      </c>
      <c r="R33" s="33">
        <f>Q33+IF(Q33&lt;=(Parameter!$C$30*Parameter!$C$57*Umrechnung!$C$8),0,MIN(Parameter!$C$29*Q33,Parameter!$C$31*(Q33-(Parameter!$C$30*Parameter!$C$57*Umrechnung!$C$8))))+Eingaben!$C$16*Q33</f>
        <v/>
      </c>
      <c r="S33" s="33">
        <f>E33-I33-(Umrechnung!$C$14-R33)</f>
        <v/>
      </c>
    </row>
    <row r="34">
      <c r="B34" s="30" t="inlineStr">
        <is>
          <t>17</t>
        </is>
      </c>
      <c r="C34" s="31">
        <f>IF(S33&lt;Umrechnung!$C$9,E33,C33)</f>
        <v/>
      </c>
      <c r="D34" s="31">
        <f>IF(S33&lt;Umrechnung!$C$9,D33,E33)</f>
        <v/>
      </c>
      <c r="E34" s="31">
        <f>(C34+D34)/2</f>
        <v/>
      </c>
      <c r="F34" s="31">
        <f>MIN(E34,MAX(0,Parameter!$C$43*Umrechnung!$C$6-K34))</f>
        <v/>
      </c>
      <c r="G34" s="31">
        <f>MIN(Umrechnung!$C$5,Umrechnung!$C$6)-MIN(Umrechnung!$C$5-F34,Umrechnung!$C$6)</f>
        <v/>
      </c>
      <c r="H34" s="31">
        <f>MIN(Umrechnung!$C$5,Umrechnung!$C$7)-MIN(Umrechnung!$C$5-F34,Umrechnung!$C$7)</f>
        <v/>
      </c>
      <c r="I34" s="31">
        <f>G34*(Parameter!$C$10+Parameter!$C$11)+H34*((Parameter!$C$12+Parameter!$C$13)/2+Parameter!$C$58)</f>
        <v/>
      </c>
      <c r="J34" s="31">
        <f>G34*(Parameter!$C$10+Parameter!$C$11)+H34*((Parameter!$C$12+Parameter!$C$13)/2+Parameter!$C$15)</f>
        <v/>
      </c>
      <c r="K34" s="31">
        <f>IF(E34/12+0.000000001&lt;Eingaben!$C$29,0,12*Eingaben!$C$27)</f>
        <v/>
      </c>
      <c r="L34" s="31">
        <f>IF(Eingaben!$C$30=2,MIN(Eingaben!$C$26*E34,J34),Eingaben!$C$26*IF(Eingaben!$C$30=1,F34,E34))+K34</f>
        <v/>
      </c>
      <c r="M34" s="31">
        <f>MIN(E34,MAX(0,Parameter!$C$42*Umrechnung!$C$6-L34))</f>
        <v/>
      </c>
      <c r="N34" s="31">
        <f>MIN(Umrechnung!$C$5-F34,Umrechnung!$C$6)*Parameter!$C$10+MIN(Umrechnung!$C$5-F34,Umrechnung!$C$7)*(0.96*(Parameter!$C$12+Parameter!$C$13)/2+Parameter!$C$58)</f>
        <v/>
      </c>
      <c r="O34" s="31">
        <f>MAX(0,Umrechnung!$C$5-M34-Parameter!$C$32-Parameter!$C$33-N34)</f>
        <v/>
      </c>
      <c r="P34" s="31">
        <f>MAX(0,(O34+IF(Eingaben!$C$14=3,Eingaben!$C$15,0))/Parameter!$C$57/Umrechnung!$C$8)</f>
        <v/>
      </c>
      <c r="Q34" s="31">
        <f>Parameter!$C$57*Umrechnung!$C$8*(IF(P34&lt;=Parameter!$C$18,0,IF(P34&lt;=Parameter!$C$19,(Parameter!$C$22*(P34-Parameter!$C$18)/10000+Parameter!$C$23)*(P34-Parameter!$C$18)/10000,IF(P34&lt;=Parameter!$C$20,(Parameter!$C$24*(P34-Parameter!$C$19)/10000+Parameter!$C$25)*(P34-Parameter!$C$19)/10000+Parameter!$C$26,IF(P34&lt;=Parameter!$C$21,0.42*P34-Parameter!$C$27,0.45*P34-Parameter!$C$28)))))</f>
        <v/>
      </c>
      <c r="R34" s="31">
        <f>Q34+IF(Q34&lt;=(Parameter!$C$30*Parameter!$C$57*Umrechnung!$C$8),0,MIN(Parameter!$C$29*Q34,Parameter!$C$31*(Q34-(Parameter!$C$30*Parameter!$C$57*Umrechnung!$C$8))))+Eingaben!$C$16*Q34</f>
        <v/>
      </c>
      <c r="S34" s="31">
        <f>E34-I34-(Umrechnung!$C$14-R34)</f>
        <v/>
      </c>
    </row>
    <row r="35">
      <c r="B35" s="32" t="inlineStr">
        <is>
          <t>18</t>
        </is>
      </c>
      <c r="C35" s="33">
        <f>IF(S34&lt;Umrechnung!$C$9,E34,C34)</f>
        <v/>
      </c>
      <c r="D35" s="33">
        <f>IF(S34&lt;Umrechnung!$C$9,D34,E34)</f>
        <v/>
      </c>
      <c r="E35" s="33">
        <f>(C35+D35)/2</f>
        <v/>
      </c>
      <c r="F35" s="33">
        <f>MIN(E35,MAX(0,Parameter!$C$43*Umrechnung!$C$6-K35))</f>
        <v/>
      </c>
      <c r="G35" s="33">
        <f>MIN(Umrechnung!$C$5,Umrechnung!$C$6)-MIN(Umrechnung!$C$5-F35,Umrechnung!$C$6)</f>
        <v/>
      </c>
      <c r="H35" s="33">
        <f>MIN(Umrechnung!$C$5,Umrechnung!$C$7)-MIN(Umrechnung!$C$5-F35,Umrechnung!$C$7)</f>
        <v/>
      </c>
      <c r="I35" s="33">
        <f>G35*(Parameter!$C$10+Parameter!$C$11)+H35*((Parameter!$C$12+Parameter!$C$13)/2+Parameter!$C$58)</f>
        <v/>
      </c>
      <c r="J35" s="33">
        <f>G35*(Parameter!$C$10+Parameter!$C$11)+H35*((Parameter!$C$12+Parameter!$C$13)/2+Parameter!$C$15)</f>
        <v/>
      </c>
      <c r="K35" s="33">
        <f>IF(E35/12+0.000000001&lt;Eingaben!$C$29,0,12*Eingaben!$C$27)</f>
        <v/>
      </c>
      <c r="L35" s="33">
        <f>IF(Eingaben!$C$30=2,MIN(Eingaben!$C$26*E35,J35),Eingaben!$C$26*IF(Eingaben!$C$30=1,F35,E35))+K35</f>
        <v/>
      </c>
      <c r="M35" s="33">
        <f>MIN(E35,MAX(0,Parameter!$C$42*Umrechnung!$C$6-L35))</f>
        <v/>
      </c>
      <c r="N35" s="33">
        <f>MIN(Umrechnung!$C$5-F35,Umrechnung!$C$6)*Parameter!$C$10+MIN(Umrechnung!$C$5-F35,Umrechnung!$C$7)*(0.96*(Parameter!$C$12+Parameter!$C$13)/2+Parameter!$C$58)</f>
        <v/>
      </c>
      <c r="O35" s="33">
        <f>MAX(0,Umrechnung!$C$5-M35-Parameter!$C$32-Parameter!$C$33-N35)</f>
        <v/>
      </c>
      <c r="P35" s="33">
        <f>MAX(0,(O35+IF(Eingaben!$C$14=3,Eingaben!$C$15,0))/Parameter!$C$57/Umrechnung!$C$8)</f>
        <v/>
      </c>
      <c r="Q35" s="33">
        <f>Parameter!$C$57*Umrechnung!$C$8*(IF(P35&lt;=Parameter!$C$18,0,IF(P35&lt;=Parameter!$C$19,(Parameter!$C$22*(P35-Parameter!$C$18)/10000+Parameter!$C$23)*(P35-Parameter!$C$18)/10000,IF(P35&lt;=Parameter!$C$20,(Parameter!$C$24*(P35-Parameter!$C$19)/10000+Parameter!$C$25)*(P35-Parameter!$C$19)/10000+Parameter!$C$26,IF(P35&lt;=Parameter!$C$21,0.42*P35-Parameter!$C$27,0.45*P35-Parameter!$C$28)))))</f>
        <v/>
      </c>
      <c r="R35" s="33">
        <f>Q35+IF(Q35&lt;=(Parameter!$C$30*Parameter!$C$57*Umrechnung!$C$8),0,MIN(Parameter!$C$29*Q35,Parameter!$C$31*(Q35-(Parameter!$C$30*Parameter!$C$57*Umrechnung!$C$8))))+Eingaben!$C$16*Q35</f>
        <v/>
      </c>
      <c r="S35" s="33">
        <f>E35-I35-(Umrechnung!$C$14-R35)</f>
        <v/>
      </c>
    </row>
    <row r="36">
      <c r="B36" s="30" t="inlineStr">
        <is>
          <t>19</t>
        </is>
      </c>
      <c r="C36" s="31">
        <f>IF(S35&lt;Umrechnung!$C$9,E35,C35)</f>
        <v/>
      </c>
      <c r="D36" s="31">
        <f>IF(S35&lt;Umrechnung!$C$9,D35,E35)</f>
        <v/>
      </c>
      <c r="E36" s="31">
        <f>(C36+D36)/2</f>
        <v/>
      </c>
      <c r="F36" s="31">
        <f>MIN(E36,MAX(0,Parameter!$C$43*Umrechnung!$C$6-K36))</f>
        <v/>
      </c>
      <c r="G36" s="31">
        <f>MIN(Umrechnung!$C$5,Umrechnung!$C$6)-MIN(Umrechnung!$C$5-F36,Umrechnung!$C$6)</f>
        <v/>
      </c>
      <c r="H36" s="31">
        <f>MIN(Umrechnung!$C$5,Umrechnung!$C$7)-MIN(Umrechnung!$C$5-F36,Umrechnung!$C$7)</f>
        <v/>
      </c>
      <c r="I36" s="31">
        <f>G36*(Parameter!$C$10+Parameter!$C$11)+H36*((Parameter!$C$12+Parameter!$C$13)/2+Parameter!$C$58)</f>
        <v/>
      </c>
      <c r="J36" s="31">
        <f>G36*(Parameter!$C$10+Parameter!$C$11)+H36*((Parameter!$C$12+Parameter!$C$13)/2+Parameter!$C$15)</f>
        <v/>
      </c>
      <c r="K36" s="31">
        <f>IF(E36/12+0.000000001&lt;Eingaben!$C$29,0,12*Eingaben!$C$27)</f>
        <v/>
      </c>
      <c r="L36" s="31">
        <f>IF(Eingaben!$C$30=2,MIN(Eingaben!$C$26*E36,J36),Eingaben!$C$26*IF(Eingaben!$C$30=1,F36,E36))+K36</f>
        <v/>
      </c>
      <c r="M36" s="31">
        <f>MIN(E36,MAX(0,Parameter!$C$42*Umrechnung!$C$6-L36))</f>
        <v/>
      </c>
      <c r="N36" s="31">
        <f>MIN(Umrechnung!$C$5-F36,Umrechnung!$C$6)*Parameter!$C$10+MIN(Umrechnung!$C$5-F36,Umrechnung!$C$7)*(0.96*(Parameter!$C$12+Parameter!$C$13)/2+Parameter!$C$58)</f>
        <v/>
      </c>
      <c r="O36" s="31">
        <f>MAX(0,Umrechnung!$C$5-M36-Parameter!$C$32-Parameter!$C$33-N36)</f>
        <v/>
      </c>
      <c r="P36" s="31">
        <f>MAX(0,(O36+IF(Eingaben!$C$14=3,Eingaben!$C$15,0))/Parameter!$C$57/Umrechnung!$C$8)</f>
        <v/>
      </c>
      <c r="Q36" s="31">
        <f>Parameter!$C$57*Umrechnung!$C$8*(IF(P36&lt;=Parameter!$C$18,0,IF(P36&lt;=Parameter!$C$19,(Parameter!$C$22*(P36-Parameter!$C$18)/10000+Parameter!$C$23)*(P36-Parameter!$C$18)/10000,IF(P36&lt;=Parameter!$C$20,(Parameter!$C$24*(P36-Parameter!$C$19)/10000+Parameter!$C$25)*(P36-Parameter!$C$19)/10000+Parameter!$C$26,IF(P36&lt;=Parameter!$C$21,0.42*P36-Parameter!$C$27,0.45*P36-Parameter!$C$28)))))</f>
        <v/>
      </c>
      <c r="R36" s="31">
        <f>Q36+IF(Q36&lt;=(Parameter!$C$30*Parameter!$C$57*Umrechnung!$C$8),0,MIN(Parameter!$C$29*Q36,Parameter!$C$31*(Q36-(Parameter!$C$30*Parameter!$C$57*Umrechnung!$C$8))))+Eingaben!$C$16*Q36</f>
        <v/>
      </c>
      <c r="S36" s="31">
        <f>E36-I36-(Umrechnung!$C$14-R36)</f>
        <v/>
      </c>
    </row>
    <row r="37">
      <c r="B37" s="32" t="inlineStr">
        <is>
          <t>20</t>
        </is>
      </c>
      <c r="C37" s="33">
        <f>IF(S36&lt;Umrechnung!$C$9,E36,C36)</f>
        <v/>
      </c>
      <c r="D37" s="33">
        <f>IF(S36&lt;Umrechnung!$C$9,D36,E36)</f>
        <v/>
      </c>
      <c r="E37" s="33">
        <f>(C37+D37)/2</f>
        <v/>
      </c>
      <c r="F37" s="33">
        <f>MIN(E37,MAX(0,Parameter!$C$43*Umrechnung!$C$6-K37))</f>
        <v/>
      </c>
      <c r="G37" s="33">
        <f>MIN(Umrechnung!$C$5,Umrechnung!$C$6)-MIN(Umrechnung!$C$5-F37,Umrechnung!$C$6)</f>
        <v/>
      </c>
      <c r="H37" s="33">
        <f>MIN(Umrechnung!$C$5,Umrechnung!$C$7)-MIN(Umrechnung!$C$5-F37,Umrechnung!$C$7)</f>
        <v/>
      </c>
      <c r="I37" s="33">
        <f>G37*(Parameter!$C$10+Parameter!$C$11)+H37*((Parameter!$C$12+Parameter!$C$13)/2+Parameter!$C$58)</f>
        <v/>
      </c>
      <c r="J37" s="33">
        <f>G37*(Parameter!$C$10+Parameter!$C$11)+H37*((Parameter!$C$12+Parameter!$C$13)/2+Parameter!$C$15)</f>
        <v/>
      </c>
      <c r="K37" s="33">
        <f>IF(E37/12+0.000000001&lt;Eingaben!$C$29,0,12*Eingaben!$C$27)</f>
        <v/>
      </c>
      <c r="L37" s="33">
        <f>IF(Eingaben!$C$30=2,MIN(Eingaben!$C$26*E37,J37),Eingaben!$C$26*IF(Eingaben!$C$30=1,F37,E37))+K37</f>
        <v/>
      </c>
      <c r="M37" s="33">
        <f>MIN(E37,MAX(0,Parameter!$C$42*Umrechnung!$C$6-L37))</f>
        <v/>
      </c>
      <c r="N37" s="33">
        <f>MIN(Umrechnung!$C$5-F37,Umrechnung!$C$6)*Parameter!$C$10+MIN(Umrechnung!$C$5-F37,Umrechnung!$C$7)*(0.96*(Parameter!$C$12+Parameter!$C$13)/2+Parameter!$C$58)</f>
        <v/>
      </c>
      <c r="O37" s="33">
        <f>MAX(0,Umrechnung!$C$5-M37-Parameter!$C$32-Parameter!$C$33-N37)</f>
        <v/>
      </c>
      <c r="P37" s="33">
        <f>MAX(0,(O37+IF(Eingaben!$C$14=3,Eingaben!$C$15,0))/Parameter!$C$57/Umrechnung!$C$8)</f>
        <v/>
      </c>
      <c r="Q37" s="33">
        <f>Parameter!$C$57*Umrechnung!$C$8*(IF(P37&lt;=Parameter!$C$18,0,IF(P37&lt;=Parameter!$C$19,(Parameter!$C$22*(P37-Parameter!$C$18)/10000+Parameter!$C$23)*(P37-Parameter!$C$18)/10000,IF(P37&lt;=Parameter!$C$20,(Parameter!$C$24*(P37-Parameter!$C$19)/10000+Parameter!$C$25)*(P37-Parameter!$C$19)/10000+Parameter!$C$26,IF(P37&lt;=Parameter!$C$21,0.42*P37-Parameter!$C$27,0.45*P37-Parameter!$C$28)))))</f>
        <v/>
      </c>
      <c r="R37" s="33">
        <f>Q37+IF(Q37&lt;=(Parameter!$C$30*Parameter!$C$57*Umrechnung!$C$8),0,MIN(Parameter!$C$29*Q37,Parameter!$C$31*(Q37-(Parameter!$C$30*Parameter!$C$57*Umrechnung!$C$8))))+Eingaben!$C$16*Q37</f>
        <v/>
      </c>
      <c r="S37" s="33">
        <f>E37-I37-(Umrechnung!$C$14-R37)</f>
        <v/>
      </c>
    </row>
    <row r="38">
      <c r="B38" s="30" t="inlineStr">
        <is>
          <t>21</t>
        </is>
      </c>
      <c r="C38" s="31">
        <f>IF(S37&lt;Umrechnung!$C$9,E37,C37)</f>
        <v/>
      </c>
      <c r="D38" s="31">
        <f>IF(S37&lt;Umrechnung!$C$9,D37,E37)</f>
        <v/>
      </c>
      <c r="E38" s="31">
        <f>(C38+D38)/2</f>
        <v/>
      </c>
      <c r="F38" s="31">
        <f>MIN(E38,MAX(0,Parameter!$C$43*Umrechnung!$C$6-K38))</f>
        <v/>
      </c>
      <c r="G38" s="31">
        <f>MIN(Umrechnung!$C$5,Umrechnung!$C$6)-MIN(Umrechnung!$C$5-F38,Umrechnung!$C$6)</f>
        <v/>
      </c>
      <c r="H38" s="31">
        <f>MIN(Umrechnung!$C$5,Umrechnung!$C$7)-MIN(Umrechnung!$C$5-F38,Umrechnung!$C$7)</f>
        <v/>
      </c>
      <c r="I38" s="31">
        <f>G38*(Parameter!$C$10+Parameter!$C$11)+H38*((Parameter!$C$12+Parameter!$C$13)/2+Parameter!$C$58)</f>
        <v/>
      </c>
      <c r="J38" s="31">
        <f>G38*(Parameter!$C$10+Parameter!$C$11)+H38*((Parameter!$C$12+Parameter!$C$13)/2+Parameter!$C$15)</f>
        <v/>
      </c>
      <c r="K38" s="31">
        <f>IF(E38/12+0.000000001&lt;Eingaben!$C$29,0,12*Eingaben!$C$27)</f>
        <v/>
      </c>
      <c r="L38" s="31">
        <f>IF(Eingaben!$C$30=2,MIN(Eingaben!$C$26*E38,J38),Eingaben!$C$26*IF(Eingaben!$C$30=1,F38,E38))+K38</f>
        <v/>
      </c>
      <c r="M38" s="31">
        <f>MIN(E38,MAX(0,Parameter!$C$42*Umrechnung!$C$6-L38))</f>
        <v/>
      </c>
      <c r="N38" s="31">
        <f>MIN(Umrechnung!$C$5-F38,Umrechnung!$C$6)*Parameter!$C$10+MIN(Umrechnung!$C$5-F38,Umrechnung!$C$7)*(0.96*(Parameter!$C$12+Parameter!$C$13)/2+Parameter!$C$58)</f>
        <v/>
      </c>
      <c r="O38" s="31">
        <f>MAX(0,Umrechnung!$C$5-M38-Parameter!$C$32-Parameter!$C$33-N38)</f>
        <v/>
      </c>
      <c r="P38" s="31">
        <f>MAX(0,(O38+IF(Eingaben!$C$14=3,Eingaben!$C$15,0))/Parameter!$C$57/Umrechnung!$C$8)</f>
        <v/>
      </c>
      <c r="Q38" s="31">
        <f>Parameter!$C$57*Umrechnung!$C$8*(IF(P38&lt;=Parameter!$C$18,0,IF(P38&lt;=Parameter!$C$19,(Parameter!$C$22*(P38-Parameter!$C$18)/10000+Parameter!$C$23)*(P38-Parameter!$C$18)/10000,IF(P38&lt;=Parameter!$C$20,(Parameter!$C$24*(P38-Parameter!$C$19)/10000+Parameter!$C$25)*(P38-Parameter!$C$19)/10000+Parameter!$C$26,IF(P38&lt;=Parameter!$C$21,0.42*P38-Parameter!$C$27,0.45*P38-Parameter!$C$28)))))</f>
        <v/>
      </c>
      <c r="R38" s="31">
        <f>Q38+IF(Q38&lt;=(Parameter!$C$30*Parameter!$C$57*Umrechnung!$C$8),0,MIN(Parameter!$C$29*Q38,Parameter!$C$31*(Q38-(Parameter!$C$30*Parameter!$C$57*Umrechnung!$C$8))))+Eingaben!$C$16*Q38</f>
        <v/>
      </c>
      <c r="S38" s="31">
        <f>E38-I38-(Umrechnung!$C$14-R38)</f>
        <v/>
      </c>
    </row>
    <row r="39">
      <c r="B39" s="32" t="inlineStr">
        <is>
          <t>22</t>
        </is>
      </c>
      <c r="C39" s="33">
        <f>IF(S38&lt;Umrechnung!$C$9,E38,C38)</f>
        <v/>
      </c>
      <c r="D39" s="33">
        <f>IF(S38&lt;Umrechnung!$C$9,D38,E38)</f>
        <v/>
      </c>
      <c r="E39" s="33">
        <f>(C39+D39)/2</f>
        <v/>
      </c>
      <c r="F39" s="33">
        <f>MIN(E39,MAX(0,Parameter!$C$43*Umrechnung!$C$6-K39))</f>
        <v/>
      </c>
      <c r="G39" s="33">
        <f>MIN(Umrechnung!$C$5,Umrechnung!$C$6)-MIN(Umrechnung!$C$5-F39,Umrechnung!$C$6)</f>
        <v/>
      </c>
      <c r="H39" s="33">
        <f>MIN(Umrechnung!$C$5,Umrechnung!$C$7)-MIN(Umrechnung!$C$5-F39,Umrechnung!$C$7)</f>
        <v/>
      </c>
      <c r="I39" s="33">
        <f>G39*(Parameter!$C$10+Parameter!$C$11)+H39*((Parameter!$C$12+Parameter!$C$13)/2+Parameter!$C$58)</f>
        <v/>
      </c>
      <c r="J39" s="33">
        <f>G39*(Parameter!$C$10+Parameter!$C$11)+H39*((Parameter!$C$12+Parameter!$C$13)/2+Parameter!$C$15)</f>
        <v/>
      </c>
      <c r="K39" s="33">
        <f>IF(E39/12+0.000000001&lt;Eingaben!$C$29,0,12*Eingaben!$C$27)</f>
        <v/>
      </c>
      <c r="L39" s="33">
        <f>IF(Eingaben!$C$30=2,MIN(Eingaben!$C$26*E39,J39),Eingaben!$C$26*IF(Eingaben!$C$30=1,F39,E39))+K39</f>
        <v/>
      </c>
      <c r="M39" s="33">
        <f>MIN(E39,MAX(0,Parameter!$C$42*Umrechnung!$C$6-L39))</f>
        <v/>
      </c>
      <c r="N39" s="33">
        <f>MIN(Umrechnung!$C$5-F39,Umrechnung!$C$6)*Parameter!$C$10+MIN(Umrechnung!$C$5-F39,Umrechnung!$C$7)*(0.96*(Parameter!$C$12+Parameter!$C$13)/2+Parameter!$C$58)</f>
        <v/>
      </c>
      <c r="O39" s="33">
        <f>MAX(0,Umrechnung!$C$5-M39-Parameter!$C$32-Parameter!$C$33-N39)</f>
        <v/>
      </c>
      <c r="P39" s="33">
        <f>MAX(0,(O39+IF(Eingaben!$C$14=3,Eingaben!$C$15,0))/Parameter!$C$57/Umrechnung!$C$8)</f>
        <v/>
      </c>
      <c r="Q39" s="33">
        <f>Parameter!$C$57*Umrechnung!$C$8*(IF(P39&lt;=Parameter!$C$18,0,IF(P39&lt;=Parameter!$C$19,(Parameter!$C$22*(P39-Parameter!$C$18)/10000+Parameter!$C$23)*(P39-Parameter!$C$18)/10000,IF(P39&lt;=Parameter!$C$20,(Parameter!$C$24*(P39-Parameter!$C$19)/10000+Parameter!$C$25)*(P39-Parameter!$C$19)/10000+Parameter!$C$26,IF(P39&lt;=Parameter!$C$21,0.42*P39-Parameter!$C$27,0.45*P39-Parameter!$C$28)))))</f>
        <v/>
      </c>
      <c r="R39" s="33">
        <f>Q39+IF(Q39&lt;=(Parameter!$C$30*Parameter!$C$57*Umrechnung!$C$8),0,MIN(Parameter!$C$29*Q39,Parameter!$C$31*(Q39-(Parameter!$C$30*Parameter!$C$57*Umrechnung!$C$8))))+Eingaben!$C$16*Q39</f>
        <v/>
      </c>
      <c r="S39" s="33">
        <f>E39-I39-(Umrechnung!$C$14-R39)</f>
        <v/>
      </c>
    </row>
    <row r="40">
      <c r="B40" s="30" t="inlineStr">
        <is>
          <t>23</t>
        </is>
      </c>
      <c r="C40" s="31">
        <f>IF(S39&lt;Umrechnung!$C$9,E39,C39)</f>
        <v/>
      </c>
      <c r="D40" s="31">
        <f>IF(S39&lt;Umrechnung!$C$9,D39,E39)</f>
        <v/>
      </c>
      <c r="E40" s="31">
        <f>(C40+D40)/2</f>
        <v/>
      </c>
      <c r="F40" s="31">
        <f>MIN(E40,MAX(0,Parameter!$C$43*Umrechnung!$C$6-K40))</f>
        <v/>
      </c>
      <c r="G40" s="31">
        <f>MIN(Umrechnung!$C$5,Umrechnung!$C$6)-MIN(Umrechnung!$C$5-F40,Umrechnung!$C$6)</f>
        <v/>
      </c>
      <c r="H40" s="31">
        <f>MIN(Umrechnung!$C$5,Umrechnung!$C$7)-MIN(Umrechnung!$C$5-F40,Umrechnung!$C$7)</f>
        <v/>
      </c>
      <c r="I40" s="31">
        <f>G40*(Parameter!$C$10+Parameter!$C$11)+H40*((Parameter!$C$12+Parameter!$C$13)/2+Parameter!$C$58)</f>
        <v/>
      </c>
      <c r="J40" s="31">
        <f>G40*(Parameter!$C$10+Parameter!$C$11)+H40*((Parameter!$C$12+Parameter!$C$13)/2+Parameter!$C$15)</f>
        <v/>
      </c>
      <c r="K40" s="31">
        <f>IF(E40/12+0.000000001&lt;Eingaben!$C$29,0,12*Eingaben!$C$27)</f>
        <v/>
      </c>
      <c r="L40" s="31">
        <f>IF(Eingaben!$C$30=2,MIN(Eingaben!$C$26*E40,J40),Eingaben!$C$26*IF(Eingaben!$C$30=1,F40,E40))+K40</f>
        <v/>
      </c>
      <c r="M40" s="31">
        <f>MIN(E40,MAX(0,Parameter!$C$42*Umrechnung!$C$6-L40))</f>
        <v/>
      </c>
      <c r="N40" s="31">
        <f>MIN(Umrechnung!$C$5-F40,Umrechnung!$C$6)*Parameter!$C$10+MIN(Umrechnung!$C$5-F40,Umrechnung!$C$7)*(0.96*(Parameter!$C$12+Parameter!$C$13)/2+Parameter!$C$58)</f>
        <v/>
      </c>
      <c r="O40" s="31">
        <f>MAX(0,Umrechnung!$C$5-M40-Parameter!$C$32-Parameter!$C$33-N40)</f>
        <v/>
      </c>
      <c r="P40" s="31">
        <f>MAX(0,(O40+IF(Eingaben!$C$14=3,Eingaben!$C$15,0))/Parameter!$C$57/Umrechnung!$C$8)</f>
        <v/>
      </c>
      <c r="Q40" s="31">
        <f>Parameter!$C$57*Umrechnung!$C$8*(IF(P40&lt;=Parameter!$C$18,0,IF(P40&lt;=Parameter!$C$19,(Parameter!$C$22*(P40-Parameter!$C$18)/10000+Parameter!$C$23)*(P40-Parameter!$C$18)/10000,IF(P40&lt;=Parameter!$C$20,(Parameter!$C$24*(P40-Parameter!$C$19)/10000+Parameter!$C$25)*(P40-Parameter!$C$19)/10000+Parameter!$C$26,IF(P40&lt;=Parameter!$C$21,0.42*P40-Parameter!$C$27,0.45*P40-Parameter!$C$28)))))</f>
        <v/>
      </c>
      <c r="R40" s="31">
        <f>Q40+IF(Q40&lt;=(Parameter!$C$30*Parameter!$C$57*Umrechnung!$C$8),0,MIN(Parameter!$C$29*Q40,Parameter!$C$31*(Q40-(Parameter!$C$30*Parameter!$C$57*Umrechnung!$C$8))))+Eingaben!$C$16*Q40</f>
        <v/>
      </c>
      <c r="S40" s="31">
        <f>E40-I40-(Umrechnung!$C$14-R40)</f>
        <v/>
      </c>
    </row>
    <row r="41">
      <c r="B41" s="32" t="inlineStr">
        <is>
          <t>24</t>
        </is>
      </c>
      <c r="C41" s="33">
        <f>IF(S40&lt;Umrechnung!$C$9,E40,C40)</f>
        <v/>
      </c>
      <c r="D41" s="33">
        <f>IF(S40&lt;Umrechnung!$C$9,D40,E40)</f>
        <v/>
      </c>
      <c r="E41" s="33">
        <f>(C41+D41)/2</f>
        <v/>
      </c>
      <c r="F41" s="33">
        <f>MIN(E41,MAX(0,Parameter!$C$43*Umrechnung!$C$6-K41))</f>
        <v/>
      </c>
      <c r="G41" s="33">
        <f>MIN(Umrechnung!$C$5,Umrechnung!$C$6)-MIN(Umrechnung!$C$5-F41,Umrechnung!$C$6)</f>
        <v/>
      </c>
      <c r="H41" s="33">
        <f>MIN(Umrechnung!$C$5,Umrechnung!$C$7)-MIN(Umrechnung!$C$5-F41,Umrechnung!$C$7)</f>
        <v/>
      </c>
      <c r="I41" s="33">
        <f>G41*(Parameter!$C$10+Parameter!$C$11)+H41*((Parameter!$C$12+Parameter!$C$13)/2+Parameter!$C$58)</f>
        <v/>
      </c>
      <c r="J41" s="33">
        <f>G41*(Parameter!$C$10+Parameter!$C$11)+H41*((Parameter!$C$12+Parameter!$C$13)/2+Parameter!$C$15)</f>
        <v/>
      </c>
      <c r="K41" s="33">
        <f>IF(E41/12+0.000000001&lt;Eingaben!$C$29,0,12*Eingaben!$C$27)</f>
        <v/>
      </c>
      <c r="L41" s="33">
        <f>IF(Eingaben!$C$30=2,MIN(Eingaben!$C$26*E41,J41),Eingaben!$C$26*IF(Eingaben!$C$30=1,F41,E41))+K41</f>
        <v/>
      </c>
      <c r="M41" s="33">
        <f>MIN(E41,MAX(0,Parameter!$C$42*Umrechnung!$C$6-L41))</f>
        <v/>
      </c>
      <c r="N41" s="33">
        <f>MIN(Umrechnung!$C$5-F41,Umrechnung!$C$6)*Parameter!$C$10+MIN(Umrechnung!$C$5-F41,Umrechnung!$C$7)*(0.96*(Parameter!$C$12+Parameter!$C$13)/2+Parameter!$C$58)</f>
        <v/>
      </c>
      <c r="O41" s="33">
        <f>MAX(0,Umrechnung!$C$5-M41-Parameter!$C$32-Parameter!$C$33-N41)</f>
        <v/>
      </c>
      <c r="P41" s="33">
        <f>MAX(0,(O41+IF(Eingaben!$C$14=3,Eingaben!$C$15,0))/Parameter!$C$57/Umrechnung!$C$8)</f>
        <v/>
      </c>
      <c r="Q41" s="33">
        <f>Parameter!$C$57*Umrechnung!$C$8*(IF(P41&lt;=Parameter!$C$18,0,IF(P41&lt;=Parameter!$C$19,(Parameter!$C$22*(P41-Parameter!$C$18)/10000+Parameter!$C$23)*(P41-Parameter!$C$18)/10000,IF(P41&lt;=Parameter!$C$20,(Parameter!$C$24*(P41-Parameter!$C$19)/10000+Parameter!$C$25)*(P41-Parameter!$C$19)/10000+Parameter!$C$26,IF(P41&lt;=Parameter!$C$21,0.42*P41-Parameter!$C$27,0.45*P41-Parameter!$C$28)))))</f>
        <v/>
      </c>
      <c r="R41" s="33">
        <f>Q41+IF(Q41&lt;=(Parameter!$C$30*Parameter!$C$57*Umrechnung!$C$8),0,MIN(Parameter!$C$29*Q41,Parameter!$C$31*(Q41-(Parameter!$C$30*Parameter!$C$57*Umrechnung!$C$8))))+Eingaben!$C$16*Q41</f>
        <v/>
      </c>
      <c r="S41" s="33">
        <f>E41-I41-(Umrechnung!$C$14-R41)</f>
        <v/>
      </c>
    </row>
    <row r="42">
      <c r="B42" s="30" t="inlineStr">
        <is>
          <t>25</t>
        </is>
      </c>
      <c r="C42" s="31">
        <f>IF(S41&lt;Umrechnung!$C$9,E41,C41)</f>
        <v/>
      </c>
      <c r="D42" s="31">
        <f>IF(S41&lt;Umrechnung!$C$9,D41,E41)</f>
        <v/>
      </c>
      <c r="E42" s="31">
        <f>(C42+D42)/2</f>
        <v/>
      </c>
      <c r="F42" s="31">
        <f>MIN(E42,MAX(0,Parameter!$C$43*Umrechnung!$C$6-K42))</f>
        <v/>
      </c>
      <c r="G42" s="31">
        <f>MIN(Umrechnung!$C$5,Umrechnung!$C$6)-MIN(Umrechnung!$C$5-F42,Umrechnung!$C$6)</f>
        <v/>
      </c>
      <c r="H42" s="31">
        <f>MIN(Umrechnung!$C$5,Umrechnung!$C$7)-MIN(Umrechnung!$C$5-F42,Umrechnung!$C$7)</f>
        <v/>
      </c>
      <c r="I42" s="31">
        <f>G42*(Parameter!$C$10+Parameter!$C$11)+H42*((Parameter!$C$12+Parameter!$C$13)/2+Parameter!$C$58)</f>
        <v/>
      </c>
      <c r="J42" s="31">
        <f>G42*(Parameter!$C$10+Parameter!$C$11)+H42*((Parameter!$C$12+Parameter!$C$13)/2+Parameter!$C$15)</f>
        <v/>
      </c>
      <c r="K42" s="31">
        <f>IF(E42/12+0.000000001&lt;Eingaben!$C$29,0,12*Eingaben!$C$27)</f>
        <v/>
      </c>
      <c r="L42" s="31">
        <f>IF(Eingaben!$C$30=2,MIN(Eingaben!$C$26*E42,J42),Eingaben!$C$26*IF(Eingaben!$C$30=1,F42,E42))+K42</f>
        <v/>
      </c>
      <c r="M42" s="31">
        <f>MIN(E42,MAX(0,Parameter!$C$42*Umrechnung!$C$6-L42))</f>
        <v/>
      </c>
      <c r="N42" s="31">
        <f>MIN(Umrechnung!$C$5-F42,Umrechnung!$C$6)*Parameter!$C$10+MIN(Umrechnung!$C$5-F42,Umrechnung!$C$7)*(0.96*(Parameter!$C$12+Parameter!$C$13)/2+Parameter!$C$58)</f>
        <v/>
      </c>
      <c r="O42" s="31">
        <f>MAX(0,Umrechnung!$C$5-M42-Parameter!$C$32-Parameter!$C$33-N42)</f>
        <v/>
      </c>
      <c r="P42" s="31">
        <f>MAX(0,(O42+IF(Eingaben!$C$14=3,Eingaben!$C$15,0))/Parameter!$C$57/Umrechnung!$C$8)</f>
        <v/>
      </c>
      <c r="Q42" s="31">
        <f>Parameter!$C$57*Umrechnung!$C$8*(IF(P42&lt;=Parameter!$C$18,0,IF(P42&lt;=Parameter!$C$19,(Parameter!$C$22*(P42-Parameter!$C$18)/10000+Parameter!$C$23)*(P42-Parameter!$C$18)/10000,IF(P42&lt;=Parameter!$C$20,(Parameter!$C$24*(P42-Parameter!$C$19)/10000+Parameter!$C$25)*(P42-Parameter!$C$19)/10000+Parameter!$C$26,IF(P42&lt;=Parameter!$C$21,0.42*P42-Parameter!$C$27,0.45*P42-Parameter!$C$28)))))</f>
        <v/>
      </c>
      <c r="R42" s="31">
        <f>Q42+IF(Q42&lt;=(Parameter!$C$30*Parameter!$C$57*Umrechnung!$C$8),0,MIN(Parameter!$C$29*Q42,Parameter!$C$31*(Q42-(Parameter!$C$30*Parameter!$C$57*Umrechnung!$C$8))))+Eingaben!$C$16*Q42</f>
        <v/>
      </c>
      <c r="S42" s="31">
        <f>E42-I42-(Umrechnung!$C$14-R42)</f>
        <v/>
      </c>
    </row>
    <row r="43">
      <c r="B43" s="32" t="inlineStr">
        <is>
          <t>26</t>
        </is>
      </c>
      <c r="C43" s="33">
        <f>IF(S42&lt;Umrechnung!$C$9,E42,C42)</f>
        <v/>
      </c>
      <c r="D43" s="33">
        <f>IF(S42&lt;Umrechnung!$C$9,D42,E42)</f>
        <v/>
      </c>
      <c r="E43" s="33">
        <f>(C43+D43)/2</f>
        <v/>
      </c>
      <c r="F43" s="33">
        <f>MIN(E43,MAX(0,Parameter!$C$43*Umrechnung!$C$6-K43))</f>
        <v/>
      </c>
      <c r="G43" s="33">
        <f>MIN(Umrechnung!$C$5,Umrechnung!$C$6)-MIN(Umrechnung!$C$5-F43,Umrechnung!$C$6)</f>
        <v/>
      </c>
      <c r="H43" s="33">
        <f>MIN(Umrechnung!$C$5,Umrechnung!$C$7)-MIN(Umrechnung!$C$5-F43,Umrechnung!$C$7)</f>
        <v/>
      </c>
      <c r="I43" s="33">
        <f>G43*(Parameter!$C$10+Parameter!$C$11)+H43*((Parameter!$C$12+Parameter!$C$13)/2+Parameter!$C$58)</f>
        <v/>
      </c>
      <c r="J43" s="33">
        <f>G43*(Parameter!$C$10+Parameter!$C$11)+H43*((Parameter!$C$12+Parameter!$C$13)/2+Parameter!$C$15)</f>
        <v/>
      </c>
      <c r="K43" s="33">
        <f>IF(E43/12+0.000000001&lt;Eingaben!$C$29,0,12*Eingaben!$C$27)</f>
        <v/>
      </c>
      <c r="L43" s="33">
        <f>IF(Eingaben!$C$30=2,MIN(Eingaben!$C$26*E43,J43),Eingaben!$C$26*IF(Eingaben!$C$30=1,F43,E43))+K43</f>
        <v/>
      </c>
      <c r="M43" s="33">
        <f>MIN(E43,MAX(0,Parameter!$C$42*Umrechnung!$C$6-L43))</f>
        <v/>
      </c>
      <c r="N43" s="33">
        <f>MIN(Umrechnung!$C$5-F43,Umrechnung!$C$6)*Parameter!$C$10+MIN(Umrechnung!$C$5-F43,Umrechnung!$C$7)*(0.96*(Parameter!$C$12+Parameter!$C$13)/2+Parameter!$C$58)</f>
        <v/>
      </c>
      <c r="O43" s="33">
        <f>MAX(0,Umrechnung!$C$5-M43-Parameter!$C$32-Parameter!$C$33-N43)</f>
        <v/>
      </c>
      <c r="P43" s="33">
        <f>MAX(0,(O43+IF(Eingaben!$C$14=3,Eingaben!$C$15,0))/Parameter!$C$57/Umrechnung!$C$8)</f>
        <v/>
      </c>
      <c r="Q43" s="33">
        <f>Parameter!$C$57*Umrechnung!$C$8*(IF(P43&lt;=Parameter!$C$18,0,IF(P43&lt;=Parameter!$C$19,(Parameter!$C$22*(P43-Parameter!$C$18)/10000+Parameter!$C$23)*(P43-Parameter!$C$18)/10000,IF(P43&lt;=Parameter!$C$20,(Parameter!$C$24*(P43-Parameter!$C$19)/10000+Parameter!$C$25)*(P43-Parameter!$C$19)/10000+Parameter!$C$26,IF(P43&lt;=Parameter!$C$21,0.42*P43-Parameter!$C$27,0.45*P43-Parameter!$C$28)))))</f>
        <v/>
      </c>
      <c r="R43" s="33">
        <f>Q43+IF(Q43&lt;=(Parameter!$C$30*Parameter!$C$57*Umrechnung!$C$8),0,MIN(Parameter!$C$29*Q43,Parameter!$C$31*(Q43-(Parameter!$C$30*Parameter!$C$57*Umrechnung!$C$8))))+Eingaben!$C$16*Q43</f>
        <v/>
      </c>
      <c r="S43" s="33">
        <f>E43-I43-(Umrechnung!$C$14-R43)</f>
        <v/>
      </c>
    </row>
    <row r="44">
      <c r="B44" s="30" t="inlineStr">
        <is>
          <t>27</t>
        </is>
      </c>
      <c r="C44" s="31">
        <f>IF(S43&lt;Umrechnung!$C$9,E43,C43)</f>
        <v/>
      </c>
      <c r="D44" s="31">
        <f>IF(S43&lt;Umrechnung!$C$9,D43,E43)</f>
        <v/>
      </c>
      <c r="E44" s="31">
        <f>(C44+D44)/2</f>
        <v/>
      </c>
      <c r="F44" s="31">
        <f>MIN(E44,MAX(0,Parameter!$C$43*Umrechnung!$C$6-K44))</f>
        <v/>
      </c>
      <c r="G44" s="31">
        <f>MIN(Umrechnung!$C$5,Umrechnung!$C$6)-MIN(Umrechnung!$C$5-F44,Umrechnung!$C$6)</f>
        <v/>
      </c>
      <c r="H44" s="31">
        <f>MIN(Umrechnung!$C$5,Umrechnung!$C$7)-MIN(Umrechnung!$C$5-F44,Umrechnung!$C$7)</f>
        <v/>
      </c>
      <c r="I44" s="31">
        <f>G44*(Parameter!$C$10+Parameter!$C$11)+H44*((Parameter!$C$12+Parameter!$C$13)/2+Parameter!$C$58)</f>
        <v/>
      </c>
      <c r="J44" s="31">
        <f>G44*(Parameter!$C$10+Parameter!$C$11)+H44*((Parameter!$C$12+Parameter!$C$13)/2+Parameter!$C$15)</f>
        <v/>
      </c>
      <c r="K44" s="31">
        <f>IF(E44/12+0.000000001&lt;Eingaben!$C$29,0,12*Eingaben!$C$27)</f>
        <v/>
      </c>
      <c r="L44" s="31">
        <f>IF(Eingaben!$C$30=2,MIN(Eingaben!$C$26*E44,J44),Eingaben!$C$26*IF(Eingaben!$C$30=1,F44,E44))+K44</f>
        <v/>
      </c>
      <c r="M44" s="31">
        <f>MIN(E44,MAX(0,Parameter!$C$42*Umrechnung!$C$6-L44))</f>
        <v/>
      </c>
      <c r="N44" s="31">
        <f>MIN(Umrechnung!$C$5-F44,Umrechnung!$C$6)*Parameter!$C$10+MIN(Umrechnung!$C$5-F44,Umrechnung!$C$7)*(0.96*(Parameter!$C$12+Parameter!$C$13)/2+Parameter!$C$58)</f>
        <v/>
      </c>
      <c r="O44" s="31">
        <f>MAX(0,Umrechnung!$C$5-M44-Parameter!$C$32-Parameter!$C$33-N44)</f>
        <v/>
      </c>
      <c r="P44" s="31">
        <f>MAX(0,(O44+IF(Eingaben!$C$14=3,Eingaben!$C$15,0))/Parameter!$C$57/Umrechnung!$C$8)</f>
        <v/>
      </c>
      <c r="Q44" s="31">
        <f>Parameter!$C$57*Umrechnung!$C$8*(IF(P44&lt;=Parameter!$C$18,0,IF(P44&lt;=Parameter!$C$19,(Parameter!$C$22*(P44-Parameter!$C$18)/10000+Parameter!$C$23)*(P44-Parameter!$C$18)/10000,IF(P44&lt;=Parameter!$C$20,(Parameter!$C$24*(P44-Parameter!$C$19)/10000+Parameter!$C$25)*(P44-Parameter!$C$19)/10000+Parameter!$C$26,IF(P44&lt;=Parameter!$C$21,0.42*P44-Parameter!$C$27,0.45*P44-Parameter!$C$28)))))</f>
        <v/>
      </c>
      <c r="R44" s="31">
        <f>Q44+IF(Q44&lt;=(Parameter!$C$30*Parameter!$C$57*Umrechnung!$C$8),0,MIN(Parameter!$C$29*Q44,Parameter!$C$31*(Q44-(Parameter!$C$30*Parameter!$C$57*Umrechnung!$C$8))))+Eingaben!$C$16*Q44</f>
        <v/>
      </c>
      <c r="S44" s="31">
        <f>E44-I44-(Umrechnung!$C$14-R44)</f>
        <v/>
      </c>
    </row>
    <row r="45">
      <c r="B45" s="32" t="inlineStr">
        <is>
          <t>28</t>
        </is>
      </c>
      <c r="C45" s="33">
        <f>IF(S44&lt;Umrechnung!$C$9,E44,C44)</f>
        <v/>
      </c>
      <c r="D45" s="33">
        <f>IF(S44&lt;Umrechnung!$C$9,D44,E44)</f>
        <v/>
      </c>
      <c r="E45" s="33">
        <f>(C45+D45)/2</f>
        <v/>
      </c>
      <c r="F45" s="33">
        <f>MIN(E45,MAX(0,Parameter!$C$43*Umrechnung!$C$6-K45))</f>
        <v/>
      </c>
      <c r="G45" s="33">
        <f>MIN(Umrechnung!$C$5,Umrechnung!$C$6)-MIN(Umrechnung!$C$5-F45,Umrechnung!$C$6)</f>
        <v/>
      </c>
      <c r="H45" s="33">
        <f>MIN(Umrechnung!$C$5,Umrechnung!$C$7)-MIN(Umrechnung!$C$5-F45,Umrechnung!$C$7)</f>
        <v/>
      </c>
      <c r="I45" s="33">
        <f>G45*(Parameter!$C$10+Parameter!$C$11)+H45*((Parameter!$C$12+Parameter!$C$13)/2+Parameter!$C$58)</f>
        <v/>
      </c>
      <c r="J45" s="33">
        <f>G45*(Parameter!$C$10+Parameter!$C$11)+H45*((Parameter!$C$12+Parameter!$C$13)/2+Parameter!$C$15)</f>
        <v/>
      </c>
      <c r="K45" s="33">
        <f>IF(E45/12+0.000000001&lt;Eingaben!$C$29,0,12*Eingaben!$C$27)</f>
        <v/>
      </c>
      <c r="L45" s="33">
        <f>IF(Eingaben!$C$30=2,MIN(Eingaben!$C$26*E45,J45),Eingaben!$C$26*IF(Eingaben!$C$30=1,F45,E45))+K45</f>
        <v/>
      </c>
      <c r="M45" s="33">
        <f>MIN(E45,MAX(0,Parameter!$C$42*Umrechnung!$C$6-L45))</f>
        <v/>
      </c>
      <c r="N45" s="33">
        <f>MIN(Umrechnung!$C$5-F45,Umrechnung!$C$6)*Parameter!$C$10+MIN(Umrechnung!$C$5-F45,Umrechnung!$C$7)*(0.96*(Parameter!$C$12+Parameter!$C$13)/2+Parameter!$C$58)</f>
        <v/>
      </c>
      <c r="O45" s="33">
        <f>MAX(0,Umrechnung!$C$5-M45-Parameter!$C$32-Parameter!$C$33-N45)</f>
        <v/>
      </c>
      <c r="P45" s="33">
        <f>MAX(0,(O45+IF(Eingaben!$C$14=3,Eingaben!$C$15,0))/Parameter!$C$57/Umrechnung!$C$8)</f>
        <v/>
      </c>
      <c r="Q45" s="33">
        <f>Parameter!$C$57*Umrechnung!$C$8*(IF(P45&lt;=Parameter!$C$18,0,IF(P45&lt;=Parameter!$C$19,(Parameter!$C$22*(P45-Parameter!$C$18)/10000+Parameter!$C$23)*(P45-Parameter!$C$18)/10000,IF(P45&lt;=Parameter!$C$20,(Parameter!$C$24*(P45-Parameter!$C$19)/10000+Parameter!$C$25)*(P45-Parameter!$C$19)/10000+Parameter!$C$26,IF(P45&lt;=Parameter!$C$21,0.42*P45-Parameter!$C$27,0.45*P45-Parameter!$C$28)))))</f>
        <v/>
      </c>
      <c r="R45" s="33">
        <f>Q45+IF(Q45&lt;=(Parameter!$C$30*Parameter!$C$57*Umrechnung!$C$8),0,MIN(Parameter!$C$29*Q45,Parameter!$C$31*(Q45-(Parameter!$C$30*Parameter!$C$57*Umrechnung!$C$8))))+Eingaben!$C$16*Q45</f>
        <v/>
      </c>
      <c r="S45" s="33">
        <f>E45-I45-(Umrechnung!$C$14-R45)</f>
        <v/>
      </c>
    </row>
    <row r="46">
      <c r="B46" s="30" t="inlineStr">
        <is>
          <t>29</t>
        </is>
      </c>
      <c r="C46" s="31">
        <f>IF(S45&lt;Umrechnung!$C$9,E45,C45)</f>
        <v/>
      </c>
      <c r="D46" s="31">
        <f>IF(S45&lt;Umrechnung!$C$9,D45,E45)</f>
        <v/>
      </c>
      <c r="E46" s="31">
        <f>(C46+D46)/2</f>
        <v/>
      </c>
      <c r="F46" s="31">
        <f>MIN(E46,MAX(0,Parameter!$C$43*Umrechnung!$C$6-K46))</f>
        <v/>
      </c>
      <c r="G46" s="31">
        <f>MIN(Umrechnung!$C$5,Umrechnung!$C$6)-MIN(Umrechnung!$C$5-F46,Umrechnung!$C$6)</f>
        <v/>
      </c>
      <c r="H46" s="31">
        <f>MIN(Umrechnung!$C$5,Umrechnung!$C$7)-MIN(Umrechnung!$C$5-F46,Umrechnung!$C$7)</f>
        <v/>
      </c>
      <c r="I46" s="31">
        <f>G46*(Parameter!$C$10+Parameter!$C$11)+H46*((Parameter!$C$12+Parameter!$C$13)/2+Parameter!$C$58)</f>
        <v/>
      </c>
      <c r="J46" s="31">
        <f>G46*(Parameter!$C$10+Parameter!$C$11)+H46*((Parameter!$C$12+Parameter!$C$13)/2+Parameter!$C$15)</f>
        <v/>
      </c>
      <c r="K46" s="31">
        <f>IF(E46/12+0.000000001&lt;Eingaben!$C$29,0,12*Eingaben!$C$27)</f>
        <v/>
      </c>
      <c r="L46" s="31">
        <f>IF(Eingaben!$C$30=2,MIN(Eingaben!$C$26*E46,J46),Eingaben!$C$26*IF(Eingaben!$C$30=1,F46,E46))+K46</f>
        <v/>
      </c>
      <c r="M46" s="31">
        <f>MIN(E46,MAX(0,Parameter!$C$42*Umrechnung!$C$6-L46))</f>
        <v/>
      </c>
      <c r="N46" s="31">
        <f>MIN(Umrechnung!$C$5-F46,Umrechnung!$C$6)*Parameter!$C$10+MIN(Umrechnung!$C$5-F46,Umrechnung!$C$7)*(0.96*(Parameter!$C$12+Parameter!$C$13)/2+Parameter!$C$58)</f>
        <v/>
      </c>
      <c r="O46" s="31">
        <f>MAX(0,Umrechnung!$C$5-M46-Parameter!$C$32-Parameter!$C$33-N46)</f>
        <v/>
      </c>
      <c r="P46" s="31">
        <f>MAX(0,(O46+IF(Eingaben!$C$14=3,Eingaben!$C$15,0))/Parameter!$C$57/Umrechnung!$C$8)</f>
        <v/>
      </c>
      <c r="Q46" s="31">
        <f>Parameter!$C$57*Umrechnung!$C$8*(IF(P46&lt;=Parameter!$C$18,0,IF(P46&lt;=Parameter!$C$19,(Parameter!$C$22*(P46-Parameter!$C$18)/10000+Parameter!$C$23)*(P46-Parameter!$C$18)/10000,IF(P46&lt;=Parameter!$C$20,(Parameter!$C$24*(P46-Parameter!$C$19)/10000+Parameter!$C$25)*(P46-Parameter!$C$19)/10000+Parameter!$C$26,IF(P46&lt;=Parameter!$C$21,0.42*P46-Parameter!$C$27,0.45*P46-Parameter!$C$28)))))</f>
        <v/>
      </c>
      <c r="R46" s="31">
        <f>Q46+IF(Q46&lt;=(Parameter!$C$30*Parameter!$C$57*Umrechnung!$C$8),0,MIN(Parameter!$C$29*Q46,Parameter!$C$31*(Q46-(Parameter!$C$30*Parameter!$C$57*Umrechnung!$C$8))))+Eingaben!$C$16*Q46</f>
        <v/>
      </c>
      <c r="S46" s="31">
        <f>E46-I46-(Umrechnung!$C$14-R46)</f>
        <v/>
      </c>
    </row>
    <row r="47">
      <c r="B47" s="32" t="inlineStr">
        <is>
          <t>30</t>
        </is>
      </c>
      <c r="C47" s="33">
        <f>IF(S46&lt;Umrechnung!$C$9,E46,C46)</f>
        <v/>
      </c>
      <c r="D47" s="33">
        <f>IF(S46&lt;Umrechnung!$C$9,D46,E46)</f>
        <v/>
      </c>
      <c r="E47" s="33">
        <f>(C47+D47)/2</f>
        <v/>
      </c>
      <c r="F47" s="33">
        <f>MIN(E47,MAX(0,Parameter!$C$43*Umrechnung!$C$6-K47))</f>
        <v/>
      </c>
      <c r="G47" s="33">
        <f>MIN(Umrechnung!$C$5,Umrechnung!$C$6)-MIN(Umrechnung!$C$5-F47,Umrechnung!$C$6)</f>
        <v/>
      </c>
      <c r="H47" s="33">
        <f>MIN(Umrechnung!$C$5,Umrechnung!$C$7)-MIN(Umrechnung!$C$5-F47,Umrechnung!$C$7)</f>
        <v/>
      </c>
      <c r="I47" s="33">
        <f>G47*(Parameter!$C$10+Parameter!$C$11)+H47*((Parameter!$C$12+Parameter!$C$13)/2+Parameter!$C$58)</f>
        <v/>
      </c>
      <c r="J47" s="33">
        <f>G47*(Parameter!$C$10+Parameter!$C$11)+H47*((Parameter!$C$12+Parameter!$C$13)/2+Parameter!$C$15)</f>
        <v/>
      </c>
      <c r="K47" s="33">
        <f>IF(E47/12+0.000000001&lt;Eingaben!$C$29,0,12*Eingaben!$C$27)</f>
        <v/>
      </c>
      <c r="L47" s="33">
        <f>IF(Eingaben!$C$30=2,MIN(Eingaben!$C$26*E47,J47),Eingaben!$C$26*IF(Eingaben!$C$30=1,F47,E47))+K47</f>
        <v/>
      </c>
      <c r="M47" s="33">
        <f>MIN(E47,MAX(0,Parameter!$C$42*Umrechnung!$C$6-L47))</f>
        <v/>
      </c>
      <c r="N47" s="33">
        <f>MIN(Umrechnung!$C$5-F47,Umrechnung!$C$6)*Parameter!$C$10+MIN(Umrechnung!$C$5-F47,Umrechnung!$C$7)*(0.96*(Parameter!$C$12+Parameter!$C$13)/2+Parameter!$C$58)</f>
        <v/>
      </c>
      <c r="O47" s="33">
        <f>MAX(0,Umrechnung!$C$5-M47-Parameter!$C$32-Parameter!$C$33-N47)</f>
        <v/>
      </c>
      <c r="P47" s="33">
        <f>MAX(0,(O47+IF(Eingaben!$C$14=3,Eingaben!$C$15,0))/Parameter!$C$57/Umrechnung!$C$8)</f>
        <v/>
      </c>
      <c r="Q47" s="33">
        <f>Parameter!$C$57*Umrechnung!$C$8*(IF(P47&lt;=Parameter!$C$18,0,IF(P47&lt;=Parameter!$C$19,(Parameter!$C$22*(P47-Parameter!$C$18)/10000+Parameter!$C$23)*(P47-Parameter!$C$18)/10000,IF(P47&lt;=Parameter!$C$20,(Parameter!$C$24*(P47-Parameter!$C$19)/10000+Parameter!$C$25)*(P47-Parameter!$C$19)/10000+Parameter!$C$26,IF(P47&lt;=Parameter!$C$21,0.42*P47-Parameter!$C$27,0.45*P47-Parameter!$C$28)))))</f>
        <v/>
      </c>
      <c r="R47" s="33">
        <f>Q47+IF(Q47&lt;=(Parameter!$C$30*Parameter!$C$57*Umrechnung!$C$8),0,MIN(Parameter!$C$29*Q47,Parameter!$C$31*(Q47-(Parameter!$C$30*Parameter!$C$57*Umrechnung!$C$8))))+Eingaben!$C$16*Q47</f>
        <v/>
      </c>
      <c r="S47" s="33">
        <f>E47-I47-(Umrechnung!$C$14-R47)</f>
        <v/>
      </c>
    </row>
    <row r="48">
      <c r="B48" s="30" t="inlineStr">
        <is>
          <t>31</t>
        </is>
      </c>
      <c r="C48" s="31">
        <f>IF(S47&lt;Umrechnung!$C$9,E47,C47)</f>
        <v/>
      </c>
      <c r="D48" s="31">
        <f>IF(S47&lt;Umrechnung!$C$9,D47,E47)</f>
        <v/>
      </c>
      <c r="E48" s="31">
        <f>(C48+D48)/2</f>
        <v/>
      </c>
      <c r="F48" s="31">
        <f>MIN(E48,MAX(0,Parameter!$C$43*Umrechnung!$C$6-K48))</f>
        <v/>
      </c>
      <c r="G48" s="31">
        <f>MIN(Umrechnung!$C$5,Umrechnung!$C$6)-MIN(Umrechnung!$C$5-F48,Umrechnung!$C$6)</f>
        <v/>
      </c>
      <c r="H48" s="31">
        <f>MIN(Umrechnung!$C$5,Umrechnung!$C$7)-MIN(Umrechnung!$C$5-F48,Umrechnung!$C$7)</f>
        <v/>
      </c>
      <c r="I48" s="31">
        <f>G48*(Parameter!$C$10+Parameter!$C$11)+H48*((Parameter!$C$12+Parameter!$C$13)/2+Parameter!$C$58)</f>
        <v/>
      </c>
      <c r="J48" s="31">
        <f>G48*(Parameter!$C$10+Parameter!$C$11)+H48*((Parameter!$C$12+Parameter!$C$13)/2+Parameter!$C$15)</f>
        <v/>
      </c>
      <c r="K48" s="31">
        <f>IF(E48/12+0.000000001&lt;Eingaben!$C$29,0,12*Eingaben!$C$27)</f>
        <v/>
      </c>
      <c r="L48" s="31">
        <f>IF(Eingaben!$C$30=2,MIN(Eingaben!$C$26*E48,J48),Eingaben!$C$26*IF(Eingaben!$C$30=1,F48,E48))+K48</f>
        <v/>
      </c>
      <c r="M48" s="31">
        <f>MIN(E48,MAX(0,Parameter!$C$42*Umrechnung!$C$6-L48))</f>
        <v/>
      </c>
      <c r="N48" s="31">
        <f>MIN(Umrechnung!$C$5-F48,Umrechnung!$C$6)*Parameter!$C$10+MIN(Umrechnung!$C$5-F48,Umrechnung!$C$7)*(0.96*(Parameter!$C$12+Parameter!$C$13)/2+Parameter!$C$58)</f>
        <v/>
      </c>
      <c r="O48" s="31">
        <f>MAX(0,Umrechnung!$C$5-M48-Parameter!$C$32-Parameter!$C$33-N48)</f>
        <v/>
      </c>
      <c r="P48" s="31">
        <f>MAX(0,(O48+IF(Eingaben!$C$14=3,Eingaben!$C$15,0))/Parameter!$C$57/Umrechnung!$C$8)</f>
        <v/>
      </c>
      <c r="Q48" s="31">
        <f>Parameter!$C$57*Umrechnung!$C$8*(IF(P48&lt;=Parameter!$C$18,0,IF(P48&lt;=Parameter!$C$19,(Parameter!$C$22*(P48-Parameter!$C$18)/10000+Parameter!$C$23)*(P48-Parameter!$C$18)/10000,IF(P48&lt;=Parameter!$C$20,(Parameter!$C$24*(P48-Parameter!$C$19)/10000+Parameter!$C$25)*(P48-Parameter!$C$19)/10000+Parameter!$C$26,IF(P48&lt;=Parameter!$C$21,0.42*P48-Parameter!$C$27,0.45*P48-Parameter!$C$28)))))</f>
        <v/>
      </c>
      <c r="R48" s="31">
        <f>Q48+IF(Q48&lt;=(Parameter!$C$30*Parameter!$C$57*Umrechnung!$C$8),0,MIN(Parameter!$C$29*Q48,Parameter!$C$31*(Q48-(Parameter!$C$30*Parameter!$C$57*Umrechnung!$C$8))))+Eingaben!$C$16*Q48</f>
        <v/>
      </c>
      <c r="S48" s="31">
        <f>E48-I48-(Umrechnung!$C$14-R48)</f>
        <v/>
      </c>
    </row>
    <row r="49">
      <c r="B49" s="32" t="inlineStr">
        <is>
          <t>32</t>
        </is>
      </c>
      <c r="C49" s="33">
        <f>IF(S48&lt;Umrechnung!$C$9,E48,C48)</f>
        <v/>
      </c>
      <c r="D49" s="33">
        <f>IF(S48&lt;Umrechnung!$C$9,D48,E48)</f>
        <v/>
      </c>
      <c r="E49" s="33">
        <f>(C49+D49)/2</f>
        <v/>
      </c>
      <c r="F49" s="33">
        <f>MIN(E49,MAX(0,Parameter!$C$43*Umrechnung!$C$6-K49))</f>
        <v/>
      </c>
      <c r="G49" s="33">
        <f>MIN(Umrechnung!$C$5,Umrechnung!$C$6)-MIN(Umrechnung!$C$5-F49,Umrechnung!$C$6)</f>
        <v/>
      </c>
      <c r="H49" s="33">
        <f>MIN(Umrechnung!$C$5,Umrechnung!$C$7)-MIN(Umrechnung!$C$5-F49,Umrechnung!$C$7)</f>
        <v/>
      </c>
      <c r="I49" s="33">
        <f>G49*(Parameter!$C$10+Parameter!$C$11)+H49*((Parameter!$C$12+Parameter!$C$13)/2+Parameter!$C$58)</f>
        <v/>
      </c>
      <c r="J49" s="33">
        <f>G49*(Parameter!$C$10+Parameter!$C$11)+H49*((Parameter!$C$12+Parameter!$C$13)/2+Parameter!$C$15)</f>
        <v/>
      </c>
      <c r="K49" s="33">
        <f>IF(E49/12+0.000000001&lt;Eingaben!$C$29,0,12*Eingaben!$C$27)</f>
        <v/>
      </c>
      <c r="L49" s="33">
        <f>IF(Eingaben!$C$30=2,MIN(Eingaben!$C$26*E49,J49),Eingaben!$C$26*IF(Eingaben!$C$30=1,F49,E49))+K49</f>
        <v/>
      </c>
      <c r="M49" s="33">
        <f>MIN(E49,MAX(0,Parameter!$C$42*Umrechnung!$C$6-L49))</f>
        <v/>
      </c>
      <c r="N49" s="33">
        <f>MIN(Umrechnung!$C$5-F49,Umrechnung!$C$6)*Parameter!$C$10+MIN(Umrechnung!$C$5-F49,Umrechnung!$C$7)*(0.96*(Parameter!$C$12+Parameter!$C$13)/2+Parameter!$C$58)</f>
        <v/>
      </c>
      <c r="O49" s="33">
        <f>MAX(0,Umrechnung!$C$5-M49-Parameter!$C$32-Parameter!$C$33-N49)</f>
        <v/>
      </c>
      <c r="P49" s="33">
        <f>MAX(0,(O49+IF(Eingaben!$C$14=3,Eingaben!$C$15,0))/Parameter!$C$57/Umrechnung!$C$8)</f>
        <v/>
      </c>
      <c r="Q49" s="33">
        <f>Parameter!$C$57*Umrechnung!$C$8*(IF(P49&lt;=Parameter!$C$18,0,IF(P49&lt;=Parameter!$C$19,(Parameter!$C$22*(P49-Parameter!$C$18)/10000+Parameter!$C$23)*(P49-Parameter!$C$18)/10000,IF(P49&lt;=Parameter!$C$20,(Parameter!$C$24*(P49-Parameter!$C$19)/10000+Parameter!$C$25)*(P49-Parameter!$C$19)/10000+Parameter!$C$26,IF(P49&lt;=Parameter!$C$21,0.42*P49-Parameter!$C$27,0.45*P49-Parameter!$C$28)))))</f>
        <v/>
      </c>
      <c r="R49" s="33">
        <f>Q49+IF(Q49&lt;=(Parameter!$C$30*Parameter!$C$57*Umrechnung!$C$8),0,MIN(Parameter!$C$29*Q49,Parameter!$C$31*(Q49-(Parameter!$C$30*Parameter!$C$57*Umrechnung!$C$8))))+Eingaben!$C$16*Q49</f>
        <v/>
      </c>
      <c r="S49" s="33">
        <f>E49-I49-(Umrechnung!$C$14-R49)</f>
        <v/>
      </c>
    </row>
    <row r="50">
      <c r="B50" s="30" t="inlineStr">
        <is>
          <t>33</t>
        </is>
      </c>
      <c r="C50" s="31">
        <f>IF(S49&lt;Umrechnung!$C$9,E49,C49)</f>
        <v/>
      </c>
      <c r="D50" s="31">
        <f>IF(S49&lt;Umrechnung!$C$9,D49,E49)</f>
        <v/>
      </c>
      <c r="E50" s="31">
        <f>(C50+D50)/2</f>
        <v/>
      </c>
      <c r="F50" s="31">
        <f>MIN(E50,MAX(0,Parameter!$C$43*Umrechnung!$C$6-K50))</f>
        <v/>
      </c>
      <c r="G50" s="31">
        <f>MIN(Umrechnung!$C$5,Umrechnung!$C$6)-MIN(Umrechnung!$C$5-F50,Umrechnung!$C$6)</f>
        <v/>
      </c>
      <c r="H50" s="31">
        <f>MIN(Umrechnung!$C$5,Umrechnung!$C$7)-MIN(Umrechnung!$C$5-F50,Umrechnung!$C$7)</f>
        <v/>
      </c>
      <c r="I50" s="31">
        <f>G50*(Parameter!$C$10+Parameter!$C$11)+H50*((Parameter!$C$12+Parameter!$C$13)/2+Parameter!$C$58)</f>
        <v/>
      </c>
      <c r="J50" s="31">
        <f>G50*(Parameter!$C$10+Parameter!$C$11)+H50*((Parameter!$C$12+Parameter!$C$13)/2+Parameter!$C$15)</f>
        <v/>
      </c>
      <c r="K50" s="31">
        <f>IF(E50/12+0.000000001&lt;Eingaben!$C$29,0,12*Eingaben!$C$27)</f>
        <v/>
      </c>
      <c r="L50" s="31">
        <f>IF(Eingaben!$C$30=2,MIN(Eingaben!$C$26*E50,J50),Eingaben!$C$26*IF(Eingaben!$C$30=1,F50,E50))+K50</f>
        <v/>
      </c>
      <c r="M50" s="31">
        <f>MIN(E50,MAX(0,Parameter!$C$42*Umrechnung!$C$6-L50))</f>
        <v/>
      </c>
      <c r="N50" s="31">
        <f>MIN(Umrechnung!$C$5-F50,Umrechnung!$C$6)*Parameter!$C$10+MIN(Umrechnung!$C$5-F50,Umrechnung!$C$7)*(0.96*(Parameter!$C$12+Parameter!$C$13)/2+Parameter!$C$58)</f>
        <v/>
      </c>
      <c r="O50" s="31">
        <f>MAX(0,Umrechnung!$C$5-M50-Parameter!$C$32-Parameter!$C$33-N50)</f>
        <v/>
      </c>
      <c r="P50" s="31">
        <f>MAX(0,(O50+IF(Eingaben!$C$14=3,Eingaben!$C$15,0))/Parameter!$C$57/Umrechnung!$C$8)</f>
        <v/>
      </c>
      <c r="Q50" s="31">
        <f>Parameter!$C$57*Umrechnung!$C$8*(IF(P50&lt;=Parameter!$C$18,0,IF(P50&lt;=Parameter!$C$19,(Parameter!$C$22*(P50-Parameter!$C$18)/10000+Parameter!$C$23)*(P50-Parameter!$C$18)/10000,IF(P50&lt;=Parameter!$C$20,(Parameter!$C$24*(P50-Parameter!$C$19)/10000+Parameter!$C$25)*(P50-Parameter!$C$19)/10000+Parameter!$C$26,IF(P50&lt;=Parameter!$C$21,0.42*P50-Parameter!$C$27,0.45*P50-Parameter!$C$28)))))</f>
        <v/>
      </c>
      <c r="R50" s="31">
        <f>Q50+IF(Q50&lt;=(Parameter!$C$30*Parameter!$C$57*Umrechnung!$C$8),0,MIN(Parameter!$C$29*Q50,Parameter!$C$31*(Q50-(Parameter!$C$30*Parameter!$C$57*Umrechnung!$C$8))))+Eingaben!$C$16*Q50</f>
        <v/>
      </c>
      <c r="S50" s="31">
        <f>E50-I50-(Umrechnung!$C$14-R50)</f>
        <v/>
      </c>
    </row>
    <row r="51">
      <c r="B51" s="32" t="inlineStr">
        <is>
          <t>34</t>
        </is>
      </c>
      <c r="C51" s="33">
        <f>IF(S50&lt;Umrechnung!$C$9,E50,C50)</f>
        <v/>
      </c>
      <c r="D51" s="33">
        <f>IF(S50&lt;Umrechnung!$C$9,D50,E50)</f>
        <v/>
      </c>
      <c r="E51" s="33">
        <f>(C51+D51)/2</f>
        <v/>
      </c>
      <c r="F51" s="33">
        <f>MIN(E51,MAX(0,Parameter!$C$43*Umrechnung!$C$6-K51))</f>
        <v/>
      </c>
      <c r="G51" s="33">
        <f>MIN(Umrechnung!$C$5,Umrechnung!$C$6)-MIN(Umrechnung!$C$5-F51,Umrechnung!$C$6)</f>
        <v/>
      </c>
      <c r="H51" s="33">
        <f>MIN(Umrechnung!$C$5,Umrechnung!$C$7)-MIN(Umrechnung!$C$5-F51,Umrechnung!$C$7)</f>
        <v/>
      </c>
      <c r="I51" s="33">
        <f>G51*(Parameter!$C$10+Parameter!$C$11)+H51*((Parameter!$C$12+Parameter!$C$13)/2+Parameter!$C$58)</f>
        <v/>
      </c>
      <c r="J51" s="33">
        <f>G51*(Parameter!$C$10+Parameter!$C$11)+H51*((Parameter!$C$12+Parameter!$C$13)/2+Parameter!$C$15)</f>
        <v/>
      </c>
      <c r="K51" s="33">
        <f>IF(E51/12+0.000000001&lt;Eingaben!$C$29,0,12*Eingaben!$C$27)</f>
        <v/>
      </c>
      <c r="L51" s="33">
        <f>IF(Eingaben!$C$30=2,MIN(Eingaben!$C$26*E51,J51),Eingaben!$C$26*IF(Eingaben!$C$30=1,F51,E51))+K51</f>
        <v/>
      </c>
      <c r="M51" s="33">
        <f>MIN(E51,MAX(0,Parameter!$C$42*Umrechnung!$C$6-L51))</f>
        <v/>
      </c>
      <c r="N51" s="33">
        <f>MIN(Umrechnung!$C$5-F51,Umrechnung!$C$6)*Parameter!$C$10+MIN(Umrechnung!$C$5-F51,Umrechnung!$C$7)*(0.96*(Parameter!$C$12+Parameter!$C$13)/2+Parameter!$C$58)</f>
        <v/>
      </c>
      <c r="O51" s="33">
        <f>MAX(0,Umrechnung!$C$5-M51-Parameter!$C$32-Parameter!$C$33-N51)</f>
        <v/>
      </c>
      <c r="P51" s="33">
        <f>MAX(0,(O51+IF(Eingaben!$C$14=3,Eingaben!$C$15,0))/Parameter!$C$57/Umrechnung!$C$8)</f>
        <v/>
      </c>
      <c r="Q51" s="33">
        <f>Parameter!$C$57*Umrechnung!$C$8*(IF(P51&lt;=Parameter!$C$18,0,IF(P51&lt;=Parameter!$C$19,(Parameter!$C$22*(P51-Parameter!$C$18)/10000+Parameter!$C$23)*(P51-Parameter!$C$18)/10000,IF(P51&lt;=Parameter!$C$20,(Parameter!$C$24*(P51-Parameter!$C$19)/10000+Parameter!$C$25)*(P51-Parameter!$C$19)/10000+Parameter!$C$26,IF(P51&lt;=Parameter!$C$21,0.42*P51-Parameter!$C$27,0.45*P51-Parameter!$C$28)))))</f>
        <v/>
      </c>
      <c r="R51" s="33">
        <f>Q51+IF(Q51&lt;=(Parameter!$C$30*Parameter!$C$57*Umrechnung!$C$8),0,MIN(Parameter!$C$29*Q51,Parameter!$C$31*(Q51-(Parameter!$C$30*Parameter!$C$57*Umrechnung!$C$8))))+Eingaben!$C$16*Q51</f>
        <v/>
      </c>
      <c r="S51" s="33">
        <f>E51-I51-(Umrechnung!$C$14-R51)</f>
        <v/>
      </c>
    </row>
    <row r="53">
      <c r="B53" s="19" t="inlineStr">
        <is>
          <t>ERGEBNIS: Bruttobeitrag p.a.</t>
        </is>
      </c>
      <c r="C53" s="18">
        <f>(C51+D51)/2</f>
        <v/>
      </c>
      <c r="D53" s="13" t="inlineStr">
        <is>
          <t>Loesung der Gleichung N(B) = Zielwert.</t>
        </is>
      </c>
    </row>
    <row r="54">
      <c r="B54" s="19" t="inlineStr">
        <is>
          <t>ERGEBNIS: Bruttobeitrag pro Monat</t>
        </is>
      </c>
      <c r="C54" s="18">
        <f>Umrechnung!$C$53/12</f>
        <v/>
      </c>
      <c r="D54" s="13" t="inlineStr">
        <is>
          <t>Wird im Blatt 'Ansparphase' verwendet, sobald Modus 2 gewaehlt ist.</t>
        </is>
      </c>
    </row>
    <row r="55">
      <c r="B55" s="19" t="inlineStr">
        <is>
          <t>Residuum N(B) - Zielwert</t>
        </is>
      </c>
      <c r="C55" s="34">
        <f>S51-Umrechnung!$C$9</f>
        <v/>
      </c>
      <c r="D55" s="13" t="inlineStr">
        <is>
          <t>Muss praktisch null sein. Andernfalls ist der Zielwert nicht erreichbar - siehe naechste Zeile.</t>
        </is>
      </c>
    </row>
    <row r="56">
      <c r="B56" s="19" t="inlineStr">
        <is>
          <t>Pruefung</t>
        </is>
      </c>
      <c r="C56" s="35">
        <f>IF(Eingaben!$C$22&lt;&gt;2,"nicht aktiv (Modus 1)",IF(ABS(Umrechnung!$C$55)&gt;0.01,"ZIELWERT NICHT ERREICHBAR - Nettoaufwand uebersteigt das Gehalt","ok"))</f>
        <v/>
      </c>
      <c r="D56" s="13"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L5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8" customWidth="1" min="1" max="1"/>
    <col width="7" customWidth="1" min="2" max="2"/>
    <col width="7" customWidth="1" min="3" max="3"/>
    <col width="7" customWidth="1" min="4" max="4"/>
    <col width="8" customWidth="1" min="5" max="5"/>
    <col width="8" customWidth="1" min="6" max="6"/>
    <col width="8"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2" customWidth="1" min="18" max="18"/>
    <col width="12" customWidth="1" min="19" max="19"/>
    <col width="11" customWidth="1" min="20" max="20"/>
    <col width="11" customWidth="1" min="21" max="21"/>
    <col width="11" customWidth="1" min="22" max="22"/>
    <col width="11" customWidth="1" min="23" max="23"/>
    <col width="12" customWidth="1" min="24" max="24"/>
    <col width="12" customWidth="1" min="25" max="25"/>
    <col width="11" customWidth="1" min="26" max="26"/>
    <col width="11" customWidth="1" min="27" max="27"/>
    <col width="11" customWidth="1" min="28" max="28"/>
    <col width="11" customWidth="1" min="29" max="29"/>
    <col width="11" customWidth="1" min="30" max="30"/>
    <col width="11" customWidth="1" min="31" max="31"/>
    <col width="11" customWidth="1" min="32" max="32"/>
    <col width="11" customWidth="1" min="33" max="33"/>
    <col width="11" customWidth="1" min="34" max="34"/>
    <col width="12" customWidth="1" min="35" max="35"/>
    <col width="12" customWidth="1" min="36" max="36"/>
    <col width="10" customWidth="1" min="37" max="37"/>
    <col width="10" customWidth="1" min="38" max="38"/>
    <col width="10" customWidth="1" min="39" max="39"/>
    <col width="11" customWidth="1" min="40" max="40"/>
    <col width="11" customWidth="1" min="41" max="41"/>
    <col width="11" customWidth="1" min="42" max="42"/>
    <col width="11" customWidth="1" min="43" max="43"/>
    <col width="11" customWidth="1" min="44" max="44"/>
    <col width="12" customWidth="1" min="45" max="45"/>
    <col width="11" customWidth="1" min="46" max="46"/>
    <col width="11" customWidth="1" min="47" max="47"/>
    <col width="12" customWidth="1" min="48" max="48"/>
    <col width="12" customWidth="1" min="49" max="49"/>
    <col width="12" customWidth="1" min="50" max="50"/>
    <col width="13" customWidth="1" min="51" max="51"/>
    <col width="13" customWidth="1" min="52" max="52"/>
    <col width="13" customWidth="1" min="53" max="53"/>
    <col width="13" customWidth="1" min="54" max="54"/>
    <col width="12" customWidth="1" min="55" max="55"/>
    <col width="12" customWidth="1" min="56" max="56"/>
    <col width="11" customWidth="1" min="57" max="57"/>
    <col width="11" customWidth="1" min="58" max="58"/>
    <col width="13" customWidth="1" min="59" max="59"/>
    <col width="12" customWidth="1" min="60" max="60"/>
    <col width="11" customWidth="1" min="61" max="61"/>
    <col width="12" customWidth="1" min="62" max="62"/>
    <col width="10" customWidth="1" min="63" max="63"/>
    <col width="11" customWidth="1" min="64" max="64"/>
  </cols>
  <sheetData>
    <row r="1">
      <c r="A1" s="1" t="inlineStr">
        <is>
          <t>Ansparphase - Jahr fuer Jahr</t>
        </is>
      </c>
    </row>
    <row r="2">
      <c r="A2" s="36" t="inlineStr">
        <is>
          <t>Vergleichsprinzip: gleicher NETTOAUFWAND. Der Nettoaufwand der Entgeltumwandlung (Spalte AI) wird in den beiden anderen Optionen investiert. Der Arbeitgeberzuschuss ist das Zusatzgeld, das nur die bAV bekommt.</t>
        </is>
      </c>
    </row>
    <row r="7" ht="34" customHeight="1">
      <c r="A7" s="37" t="inlineStr">
        <is>
          <t>Kalender-
jahr</t>
        </is>
      </c>
      <c r="B7" s="37" t="inlineStr">
        <is>
          <t>Alter</t>
        </is>
      </c>
      <c r="C7" s="37" t="inlineStr">
        <is>
          <t>erwerbs-
taetig</t>
        </is>
      </c>
      <c r="D7" s="37" t="inlineStr">
        <is>
          <t>Anspar-
phase</t>
        </is>
      </c>
      <c r="E7" s="37" t="inlineStr">
        <is>
          <t>Lohn-
index</t>
        </is>
      </c>
      <c r="F7" s="37" t="inlineStr">
        <is>
          <t>Tarif-
index L</t>
        </is>
      </c>
      <c r="G7" s="37" t="inlineStr">
        <is>
          <t>Teilzeit-
faktor</t>
        </is>
      </c>
      <c r="H7" s="37" t="inlineStr">
        <is>
          <t>Brutto-
gehalt</t>
        </is>
      </c>
      <c r="I7" s="37" t="inlineStr">
        <is>
          <t>BBG RV</t>
        </is>
      </c>
      <c r="J7" s="37" t="inlineStr">
        <is>
          <t>BBG KV</t>
        </is>
      </c>
      <c r="K7" s="37" t="inlineStr">
        <is>
          <t>bAV Brutto-
beitrag</t>
        </is>
      </c>
      <c r="L7" s="37" t="inlineStr">
        <is>
          <t>davon st.-
frei 3/63</t>
        </is>
      </c>
      <c r="M7" s="37" t="inlineStr">
        <is>
          <t>davon
sv-frei</t>
        </is>
      </c>
      <c r="N7" s="37" t="inlineStr">
        <is>
          <t>AG-Zuschuss
fest</t>
        </is>
      </c>
      <c r="O7" s="37" t="inlineStr">
        <is>
          <t>AG-Zuschuss
prozentual</t>
        </is>
      </c>
      <c r="P7" s="37" t="inlineStr">
        <is>
          <t>AG-
Zuschuss</t>
        </is>
      </c>
      <c r="Q7" s="37" t="inlineStr">
        <is>
          <t>Einzahlung
bAV gesamt</t>
        </is>
      </c>
      <c r="R7" s="37" t="inlineStr">
        <is>
          <t>davon ge-
foerdert 3/63</t>
        </is>
      </c>
      <c r="S7" s="37" t="inlineStr">
        <is>
          <t>davon NICHT
gefoerdert</t>
        </is>
      </c>
      <c r="T7" s="37" t="inlineStr">
        <is>
          <t>D RV-Be-
messung</t>
        </is>
      </c>
      <c r="U7" s="37" t="inlineStr">
        <is>
          <t>D KV-Be-
messung</t>
        </is>
      </c>
      <c r="V7" s="37" t="inlineStr">
        <is>
          <t>SV-Ersparnis
AN</t>
        </is>
      </c>
      <c r="W7" s="37" t="inlineStr">
        <is>
          <t>SV-Ersparnis
AG</t>
        </is>
      </c>
      <c r="X7" s="37" t="inlineStr">
        <is>
          <t>Vorsorgeaufw.
ohne bAV</t>
        </is>
      </c>
      <c r="Y7" s="37" t="inlineStr">
        <is>
          <t>Vorsorgeaufw.
mit bAV</t>
        </is>
      </c>
      <c r="Z7" s="37" t="inlineStr">
        <is>
          <t>zvE ohne
bAV</t>
        </is>
      </c>
      <c r="AA7" s="37" t="inlineStr">
        <is>
          <t>zvE mit
bAV</t>
        </is>
      </c>
      <c r="AB7" s="37" t="inlineStr">
        <is>
          <t>Tarifarg.
ohne</t>
        </is>
      </c>
      <c r="AC7" s="37" t="inlineStr">
        <is>
          <t>ESt ohne</t>
        </is>
      </c>
      <c r="AD7" s="37" t="inlineStr">
        <is>
          <t>Steuer ges.
ohne</t>
        </is>
      </c>
      <c r="AE7" s="37" t="inlineStr">
        <is>
          <t>Tarifarg.
mit bAV</t>
        </is>
      </c>
      <c r="AF7" s="37" t="inlineStr">
        <is>
          <t>ESt mit
bAV</t>
        </is>
      </c>
      <c r="AG7" s="37" t="inlineStr">
        <is>
          <t>Steuer ges.
mit bAV</t>
        </is>
      </c>
      <c r="AH7" s="37" t="inlineStr">
        <is>
          <t>Steuer-
ersparnis</t>
        </is>
      </c>
      <c r="AI7" s="37" t="inlineStr">
        <is>
          <t>NETTO-
AUFWAND</t>
        </is>
      </c>
      <c r="AJ7" s="37" t="inlineStr">
        <is>
          <t>AV-Depot
Eigenbeitrag</t>
        </is>
      </c>
      <c r="AK7" s="37" t="inlineStr">
        <is>
          <t>Grund-
zulage</t>
        </is>
      </c>
      <c r="AL7" s="37" t="inlineStr">
        <is>
          <t>Kinder-
zulage</t>
        </is>
      </c>
      <c r="AM7" s="37" t="inlineStr">
        <is>
          <t>Zulage
gesamt</t>
        </is>
      </c>
      <c r="AN7" s="37" t="inlineStr">
        <is>
          <t>Sonderausg.
10a</t>
        </is>
      </c>
      <c r="AO7" s="37" t="inlineStr">
        <is>
          <t>zvE mit
AV-SA</t>
        </is>
      </c>
      <c r="AP7" s="37" t="inlineStr">
        <is>
          <t>Tarifarg.
AV</t>
        </is>
      </c>
      <c r="AQ7" s="37" t="inlineStr">
        <is>
          <t>ESt AV</t>
        </is>
      </c>
      <c r="AR7" s="37" t="inlineStr">
        <is>
          <t>Steuer ges.
AV</t>
        </is>
      </c>
      <c r="AS7" s="37" t="inlineStr">
        <is>
          <t>Steuervorteil
gesamt</t>
        </is>
      </c>
      <c r="AT7" s="37" t="inlineStr">
        <is>
          <t>zusaetzl.
Erstattung</t>
        </is>
      </c>
      <c r="AU7" s="37" t="inlineStr">
        <is>
          <t>Zufluss ge-
foerdert</t>
        </is>
      </c>
      <c r="AV7" s="37" t="inlineStr">
        <is>
          <t>Zufluss nicht
gefoerdert</t>
        </is>
      </c>
      <c r="AW7" s="37" t="inlineStr">
        <is>
          <t>Ueberschuss
&gt; Hoechstbetr.</t>
        </is>
      </c>
      <c r="AX7" s="37" t="inlineStr">
        <is>
          <t>Einzahlung
Privatdepot</t>
        </is>
      </c>
      <c r="AY7" s="37" t="inlineStr">
        <is>
          <t>KAPITAL bAV
gefoerdert</t>
        </is>
      </c>
      <c r="AZ7" s="37" t="inlineStr">
        <is>
          <t>KAPITAL bAV
nicht gefoerd.</t>
        </is>
      </c>
      <c r="BA7" s="37" t="inlineStr">
        <is>
          <t>KAPITAL AV
gefoerdert</t>
        </is>
      </c>
      <c r="BB7" s="37" t="inlineStr">
        <is>
          <t>KAPITAL AV
nicht gef.</t>
        </is>
      </c>
      <c r="BC7" s="37" t="inlineStr">
        <is>
          <t>Sleeve Wert</t>
        </is>
      </c>
      <c r="BD7" s="37" t="inlineStr">
        <is>
          <t>Sleeve Basis</t>
        </is>
      </c>
      <c r="BE7" s="37" t="inlineStr">
        <is>
          <t>Sleeve VP</t>
        </is>
      </c>
      <c r="BF7" s="37" t="inlineStr">
        <is>
          <t>Sleeve VP-
Steuer</t>
        </is>
      </c>
      <c r="BG7" s="37" t="inlineStr">
        <is>
          <t>KAPITAL
Privatdepot</t>
        </is>
      </c>
      <c r="BH7" s="37" t="inlineStr">
        <is>
          <t>Kostenbasis
Privatdepot</t>
        </is>
      </c>
      <c r="BI7" s="37" t="inlineStr">
        <is>
          <t>Vorab-
pauschale</t>
        </is>
      </c>
      <c r="BJ7" s="37" t="inlineStr">
        <is>
          <t>Steuer auf
Vorabpausch.</t>
        </is>
      </c>
      <c r="BK7" s="37" t="inlineStr">
        <is>
          <t>D Entgelt-
punkte</t>
        </is>
      </c>
      <c r="BL7" s="37" t="inlineStr">
        <is>
          <t>kumulierte
EP-Verluste</t>
        </is>
      </c>
    </row>
    <row r="8">
      <c r="A8" s="30">
        <f>2026+0</f>
        <v/>
      </c>
      <c r="B8" s="30">
        <f>Eingaben!$C$5+0</f>
        <v/>
      </c>
      <c r="C8" s="30">
        <f>IF(AND(B8&lt;Eingaben!$C$8,B8&lt;Eingaben!$C$6),1,0)</f>
        <v/>
      </c>
      <c r="D8" s="30">
        <f>IF(B8&lt;Eingaben!$C$6,1,0)</f>
        <v/>
      </c>
      <c r="E8" s="38">
        <f>(1+Eingaben!$C$13)^0</f>
        <v/>
      </c>
      <c r="F8" s="38">
        <f>(1+Eingaben!$C$17)^0</f>
        <v/>
      </c>
      <c r="G8" s="39">
        <f>IF(B8&gt;=Eingaben!$C$9,Eingaben!$C$10,1)</f>
        <v/>
      </c>
      <c r="H8" s="40">
        <f>Eingaben!$C$12*E8*G8*C8</f>
        <v/>
      </c>
      <c r="I8" s="40">
        <f>Parameter!$C$4*E8</f>
        <v/>
      </c>
      <c r="J8" s="40">
        <f>Parameter!$C$5*E8</f>
        <v/>
      </c>
      <c r="K8" s="40">
        <f>MIN(H8,12*(IF(Eingaben!$C$22=2,Umrechnung!$C$54,Eingaben!$C$23))*IF(Eingaben!$C$25=1,E8,1))*C8</f>
        <v/>
      </c>
      <c r="L8" s="40">
        <f>MIN(K8,MAX(0,Parameter!$C$42*I8-P8))</f>
        <v/>
      </c>
      <c r="M8" s="40">
        <f>MIN(K8,MAX(0,Parameter!$C$43*I8-N8))</f>
        <v/>
      </c>
      <c r="N8" s="40">
        <f>C8*IF(K8/12+0.000000001&lt;Eingaben!$C$29,0,12*Eingaben!$C$27*IF(Eingaben!$C$28=1,E8,1))</f>
        <v/>
      </c>
      <c r="O8" s="40">
        <f>IF(Eingaben!$C$30=2,MIN(Eingaben!$C$26*K8,W8),Eingaben!$C$26*IF(Eingaben!$C$30=1,M8,K8))</f>
        <v/>
      </c>
      <c r="P8" s="40">
        <f>O8+N8</f>
        <v/>
      </c>
      <c r="Q8" s="40">
        <f>K8+P8</f>
        <v/>
      </c>
      <c r="R8" s="40">
        <f>MIN(Q8,Parameter!$C$42*I8)</f>
        <v/>
      </c>
      <c r="S8" s="40">
        <f>Q8-R8</f>
        <v/>
      </c>
      <c r="T8" s="40">
        <f>MIN(H8,I8)-MIN(H8-M8,I8)</f>
        <v/>
      </c>
      <c r="U8" s="40">
        <f>MIN(H8,J8)-MIN(H8-M8,J8)</f>
        <v/>
      </c>
      <c r="V8" s="40">
        <f>T8*(Parameter!$C$10+Parameter!$C$11)+U8*((Parameter!$C$12+Parameter!$C$13)/2+Parameter!$C$58)</f>
        <v/>
      </c>
      <c r="W8" s="40">
        <f>T8*(Parameter!$C$10+Parameter!$C$11)+U8*((Parameter!$C$12+Parameter!$C$13)/2+Parameter!$C$15)</f>
        <v/>
      </c>
      <c r="X8" s="40">
        <f>MIN(H8,I8)*Parameter!$C$10+MIN(H8,J8)*(0.96*(Parameter!$C$12+Parameter!$C$13)/2+Parameter!$C$58)</f>
        <v/>
      </c>
      <c r="Y8" s="40">
        <f>MIN(H8-M8,I8)*Parameter!$C$10+MIN(H8-M8,J8)*(0.96*(Parameter!$C$12+Parameter!$C$13)/2+Parameter!$C$58)</f>
        <v/>
      </c>
      <c r="Z8" s="40">
        <f>MAX(0,H8-Parameter!$C$32*F8-Parameter!$C$33-X8)</f>
        <v/>
      </c>
      <c r="AA8" s="40">
        <f>MAX(0,H8-L8-Parameter!$C$32*F8-Parameter!$C$33-Y8)</f>
        <v/>
      </c>
      <c r="AB8" s="40">
        <f>MAX(0,(Z8+IF(Eingaben!$C$14=3,Eingaben!$C$15,0))/Parameter!$C$57/F8)</f>
        <v/>
      </c>
      <c r="AC8" s="40">
        <f>Parameter!$C$57*F8*(IF(AB8&lt;=Parameter!$C$18,0,IF(AB8&lt;=Parameter!$C$19,(Parameter!$C$22*(AB8-Parameter!$C$18)/10000+Parameter!$C$23)*(AB8-Parameter!$C$18)/10000,IF(AB8&lt;=Parameter!$C$20,(Parameter!$C$24*(AB8-Parameter!$C$19)/10000+Parameter!$C$25)*(AB8-Parameter!$C$19)/10000+Parameter!$C$26,IF(AB8&lt;=Parameter!$C$21,0.42*AB8-Parameter!$C$27,0.45*AB8-Parameter!$C$28)))))</f>
        <v/>
      </c>
      <c r="AD8" s="40">
        <f>AC8+IF(AC8&lt;=(Parameter!$C$30*Parameter!$C$57*F8),0,MIN(Parameter!$C$29*AC8,Parameter!$C$31*(AC8-(Parameter!$C$30*Parameter!$C$57*F8))))+Eingaben!$C$16*AC8</f>
        <v/>
      </c>
      <c r="AE8" s="40">
        <f>MAX(0,(AA8+IF(Eingaben!$C$14=3,Eingaben!$C$15,0))/Parameter!$C$57/F8)</f>
        <v/>
      </c>
      <c r="AF8" s="40">
        <f>Parameter!$C$57*F8*(IF(AE8&lt;=Parameter!$C$18,0,IF(AE8&lt;=Parameter!$C$19,(Parameter!$C$22*(AE8-Parameter!$C$18)/10000+Parameter!$C$23)*(AE8-Parameter!$C$18)/10000,IF(AE8&lt;=Parameter!$C$20,(Parameter!$C$24*(AE8-Parameter!$C$19)/10000+Parameter!$C$25)*(AE8-Parameter!$C$19)/10000+Parameter!$C$26,IF(AE8&lt;=Parameter!$C$21,0.42*AE8-Parameter!$C$27,0.45*AE8-Parameter!$C$28)))))</f>
        <v/>
      </c>
      <c r="AG8" s="40">
        <f>AF8+IF(AF8&lt;=(Parameter!$C$30*Parameter!$C$57*F8),0,MIN(Parameter!$C$29*AF8,Parameter!$C$31*(AF8-(Parameter!$C$30*Parameter!$C$57*F8))))+Eingaben!$C$16*AF8</f>
        <v/>
      </c>
      <c r="AH8" s="40">
        <f>AD8-AG8</f>
        <v/>
      </c>
      <c r="AI8" s="40">
        <f>MAX(0,K8-V8-AH8)</f>
        <v/>
      </c>
      <c r="AJ8" s="40">
        <f>MIN(AI8,Parameter!$C$49)</f>
        <v/>
      </c>
      <c r="AK8" s="40">
        <f>Parameter!$C$44*MIN(AJ8,Parameter!$C$45)+Parameter!$C$46*MAX(0,MIN(AJ8,Parameter!$C$47)-Parameter!$C$45)</f>
        <v/>
      </c>
      <c r="AL8" s="40">
        <f>MIN(AJ8,Parameter!$C$48)*Eingaben!$C$18*IF(0&lt;Eingaben!$C$19,1,0)</f>
        <v/>
      </c>
      <c r="AM8" s="40">
        <f>MIN(AK8+AL8,MAX(0,Parameter!$C$49-AJ8))</f>
        <v/>
      </c>
      <c r="AN8" s="40">
        <f>MIN(MIN(AJ8,Parameter!$C$47)+AM8,Parameter!$C$50)</f>
        <v/>
      </c>
      <c r="AO8" s="40">
        <f>MAX(0,Z8-AN8)</f>
        <v/>
      </c>
      <c r="AP8" s="40">
        <f>MAX(0,(AO8+IF(Eingaben!$C$14=3,Eingaben!$C$15,0))/Parameter!$C$57/F8)</f>
        <v/>
      </c>
      <c r="AQ8" s="40">
        <f>Parameter!$C$57*F8*(IF(AP8&lt;=Parameter!$C$18,0,IF(AP8&lt;=Parameter!$C$19,(Parameter!$C$22*(AP8-Parameter!$C$18)/10000+Parameter!$C$23)*(AP8-Parameter!$C$18)/10000,IF(AP8&lt;=Parameter!$C$20,(Parameter!$C$24*(AP8-Parameter!$C$19)/10000+Parameter!$C$25)*(AP8-Parameter!$C$19)/10000+Parameter!$C$26,IF(AP8&lt;=Parameter!$C$21,0.42*AP8-Parameter!$C$27,0.45*AP8-Parameter!$C$28)))))</f>
        <v/>
      </c>
      <c r="AR8" s="40">
        <f>AQ8+IF(AQ8&lt;=(Parameter!$C$30*Parameter!$C$57*F8),0,MIN(Parameter!$C$29*AQ8,Parameter!$C$31*(AQ8-(Parameter!$C$30*Parameter!$C$57*F8))))+Eingaben!$C$16*AQ8</f>
        <v/>
      </c>
      <c r="AS8" s="40">
        <f>AD8-AR8</f>
        <v/>
      </c>
      <c r="AT8" s="40">
        <f>MAX(0,AS8-AM8)</f>
        <v/>
      </c>
      <c r="AU8" s="40">
        <f>MIN(AJ8,Parameter!$C$47)+AM8</f>
        <v/>
      </c>
      <c r="AV8" s="40">
        <f>MAX(0,AJ8-Parameter!$C$47)+0</f>
        <v/>
      </c>
      <c r="AW8" s="40">
        <f>MAX(0,AI8-Parameter!$C$49)</f>
        <v/>
      </c>
      <c r="AX8" s="40">
        <f>AI8</f>
        <v/>
      </c>
      <c r="AY8" s="40">
        <f>IF(D8=0,0,0*(1+Parameter!$C$60)+R8*(1+Parameter!$C$60)^0.5)</f>
        <v/>
      </c>
      <c r="AZ8" s="40">
        <f>IF(D8=0,0,0*(1+Parameter!$C$60)+S8*(1+Parameter!$C$60)^0.5)</f>
        <v/>
      </c>
      <c r="BA8" s="40">
        <f>IF(D8=0,0,0*(1+Parameter!$C$61)+AU8*(1+Parameter!$C$61)^0.5)</f>
        <v/>
      </c>
      <c r="BB8" s="40">
        <f>IF(D8=0,0,0*(1+Parameter!$C$61)+AV8*(1+Parameter!$C$61)^0.5)</f>
        <v/>
      </c>
      <c r="BC8" s="40">
        <f>IF(D8=0,0,0*(1+Parameter!$C$62)+AW8*(1+Parameter!$C$62)^0.5-BF8)</f>
        <v/>
      </c>
      <c r="BD8" s="40">
        <f>IF(D8=0,0,0+AW8+BE8)</f>
        <v/>
      </c>
      <c r="BE8" s="40">
        <f>MAX(0,MIN(0*(1+Parameter!$C$62)+AW8*(1+Parameter!$C$62)^0.5-0-AW8,0*Parameter!$C$39*Parameter!$C$40))</f>
        <v/>
      </c>
      <c r="BF8" s="40">
        <f>MAX(0,BE8*(1-Parameter!$C$37)-Parameter!$C$67)*Parameter!$C$36</f>
        <v/>
      </c>
      <c r="BG8" s="40">
        <f>IF(D8=0,0,0*(1+Parameter!$C$62)+AX8*(1+Parameter!$C$62)^0.5-BJ8)</f>
        <v/>
      </c>
      <c r="BH8" s="40">
        <f>IF(D8=0,0,0+AX8+BI8)</f>
        <v/>
      </c>
      <c r="BI8" s="40">
        <f>MAX(0,MIN(0*(1+Parameter!$C$62)+AX8*(1+Parameter!$C$62)^0.5-0-AX8,0*Parameter!$C$39*Parameter!$C$40))</f>
        <v/>
      </c>
      <c r="BJ8" s="40">
        <f>MAX(0,BI8*(1-Parameter!$C$37)-Parameter!$C$67)*Parameter!$C$36</f>
        <v/>
      </c>
      <c r="BK8" s="38">
        <f>T8/(Parameter!$C$8*E8)</f>
        <v/>
      </c>
      <c r="BL8" s="38">
        <f>0+BK8</f>
        <v/>
      </c>
    </row>
    <row r="9">
      <c r="A9" s="32">
        <f>2026+1</f>
        <v/>
      </c>
      <c r="B9" s="32">
        <f>Eingaben!$C$5+1</f>
        <v/>
      </c>
      <c r="C9" s="32">
        <f>IF(AND(B9&lt;Eingaben!$C$8,B9&lt;Eingaben!$C$6),1,0)</f>
        <v/>
      </c>
      <c r="D9" s="32">
        <f>IF(B9&lt;Eingaben!$C$6,1,0)</f>
        <v/>
      </c>
      <c r="E9" s="41">
        <f>(1+Eingaben!$C$13)^1</f>
        <v/>
      </c>
      <c r="F9" s="41">
        <f>(1+Eingaben!$C$17)^1</f>
        <v/>
      </c>
      <c r="G9" s="42">
        <f>IF(B9&gt;=Eingaben!$C$9,Eingaben!$C$10,1)</f>
        <v/>
      </c>
      <c r="H9" s="43">
        <f>Eingaben!$C$12*E9*G9*C9</f>
        <v/>
      </c>
      <c r="I9" s="43">
        <f>Parameter!$C$4*E9</f>
        <v/>
      </c>
      <c r="J9" s="43">
        <f>Parameter!$C$5*E9</f>
        <v/>
      </c>
      <c r="K9" s="43">
        <f>MIN(H9,12*(IF(Eingaben!$C$22=2,Umrechnung!$C$54,Eingaben!$C$23))*IF(Eingaben!$C$25=1,E9,1))*C9</f>
        <v/>
      </c>
      <c r="L9" s="43">
        <f>MIN(K9,MAX(0,Parameter!$C$42*I9-P9))</f>
        <v/>
      </c>
      <c r="M9" s="43">
        <f>MIN(K9,MAX(0,Parameter!$C$43*I9-N9))</f>
        <v/>
      </c>
      <c r="N9" s="43">
        <f>C9*IF(K9/12+0.000000001&lt;Eingaben!$C$29,0,12*Eingaben!$C$27*IF(Eingaben!$C$28=1,E9,1))</f>
        <v/>
      </c>
      <c r="O9" s="43">
        <f>IF(Eingaben!$C$30=2,MIN(Eingaben!$C$26*K9,W9),Eingaben!$C$26*IF(Eingaben!$C$30=1,M9,K9))</f>
        <v/>
      </c>
      <c r="P9" s="43">
        <f>O9+N9</f>
        <v/>
      </c>
      <c r="Q9" s="43">
        <f>K9+P9</f>
        <v/>
      </c>
      <c r="R9" s="43">
        <f>MIN(Q9,Parameter!$C$42*I9)</f>
        <v/>
      </c>
      <c r="S9" s="43">
        <f>Q9-R9</f>
        <v/>
      </c>
      <c r="T9" s="43">
        <f>MIN(H9,I9)-MIN(H9-M9,I9)</f>
        <v/>
      </c>
      <c r="U9" s="43">
        <f>MIN(H9,J9)-MIN(H9-M9,J9)</f>
        <v/>
      </c>
      <c r="V9" s="43">
        <f>T9*(Parameter!$C$10+Parameter!$C$11)+U9*((Parameter!$C$12+Parameter!$C$13)/2+Parameter!$C$58)</f>
        <v/>
      </c>
      <c r="W9" s="43">
        <f>T9*(Parameter!$C$10+Parameter!$C$11)+U9*((Parameter!$C$12+Parameter!$C$13)/2+Parameter!$C$15)</f>
        <v/>
      </c>
      <c r="X9" s="43">
        <f>MIN(H9,I9)*Parameter!$C$10+MIN(H9,J9)*(0.96*(Parameter!$C$12+Parameter!$C$13)/2+Parameter!$C$58)</f>
        <v/>
      </c>
      <c r="Y9" s="43">
        <f>MIN(H9-M9,I9)*Parameter!$C$10+MIN(H9-M9,J9)*(0.96*(Parameter!$C$12+Parameter!$C$13)/2+Parameter!$C$58)</f>
        <v/>
      </c>
      <c r="Z9" s="43">
        <f>MAX(0,H9-Parameter!$C$32*F9-Parameter!$C$33-X9)</f>
        <v/>
      </c>
      <c r="AA9" s="43">
        <f>MAX(0,H9-L9-Parameter!$C$32*F9-Parameter!$C$33-Y9)</f>
        <v/>
      </c>
      <c r="AB9" s="43">
        <f>MAX(0,(Z9+IF(Eingaben!$C$14=3,Eingaben!$C$15,0))/Parameter!$C$57/F9)</f>
        <v/>
      </c>
      <c r="AC9" s="43">
        <f>Parameter!$C$57*F9*(IF(AB9&lt;=Parameter!$C$18,0,IF(AB9&lt;=Parameter!$C$19,(Parameter!$C$22*(AB9-Parameter!$C$18)/10000+Parameter!$C$23)*(AB9-Parameter!$C$18)/10000,IF(AB9&lt;=Parameter!$C$20,(Parameter!$C$24*(AB9-Parameter!$C$19)/10000+Parameter!$C$25)*(AB9-Parameter!$C$19)/10000+Parameter!$C$26,IF(AB9&lt;=Parameter!$C$21,0.42*AB9-Parameter!$C$27,0.45*AB9-Parameter!$C$28)))))</f>
        <v/>
      </c>
      <c r="AD9" s="43">
        <f>AC9+IF(AC9&lt;=(Parameter!$C$30*Parameter!$C$57*F9),0,MIN(Parameter!$C$29*AC9,Parameter!$C$31*(AC9-(Parameter!$C$30*Parameter!$C$57*F9))))+Eingaben!$C$16*AC9</f>
        <v/>
      </c>
      <c r="AE9" s="43">
        <f>MAX(0,(AA9+IF(Eingaben!$C$14=3,Eingaben!$C$15,0))/Parameter!$C$57/F9)</f>
        <v/>
      </c>
      <c r="AF9" s="43">
        <f>Parameter!$C$57*F9*(IF(AE9&lt;=Parameter!$C$18,0,IF(AE9&lt;=Parameter!$C$19,(Parameter!$C$22*(AE9-Parameter!$C$18)/10000+Parameter!$C$23)*(AE9-Parameter!$C$18)/10000,IF(AE9&lt;=Parameter!$C$20,(Parameter!$C$24*(AE9-Parameter!$C$19)/10000+Parameter!$C$25)*(AE9-Parameter!$C$19)/10000+Parameter!$C$26,IF(AE9&lt;=Parameter!$C$21,0.42*AE9-Parameter!$C$27,0.45*AE9-Parameter!$C$28)))))</f>
        <v/>
      </c>
      <c r="AG9" s="43">
        <f>AF9+IF(AF9&lt;=(Parameter!$C$30*Parameter!$C$57*F9),0,MIN(Parameter!$C$29*AF9,Parameter!$C$31*(AF9-(Parameter!$C$30*Parameter!$C$57*F9))))+Eingaben!$C$16*AF9</f>
        <v/>
      </c>
      <c r="AH9" s="43">
        <f>AD9-AG9</f>
        <v/>
      </c>
      <c r="AI9" s="43">
        <f>MAX(0,K9-V9-AH9)</f>
        <v/>
      </c>
      <c r="AJ9" s="43">
        <f>MIN(AI9,Parameter!$C$49)</f>
        <v/>
      </c>
      <c r="AK9" s="43">
        <f>Parameter!$C$44*MIN(AJ9,Parameter!$C$45)+Parameter!$C$46*MAX(0,MIN(AJ9,Parameter!$C$47)-Parameter!$C$45)</f>
        <v/>
      </c>
      <c r="AL9" s="43">
        <f>MIN(AJ9,Parameter!$C$48)*Eingaben!$C$18*IF(1&lt;Eingaben!$C$19,1,0)</f>
        <v/>
      </c>
      <c r="AM9" s="43">
        <f>MIN(AK9+AL9,MAX(0,Parameter!$C$49-AJ9))</f>
        <v/>
      </c>
      <c r="AN9" s="43">
        <f>MIN(MIN(AJ9,Parameter!$C$47)+AM9,Parameter!$C$50)</f>
        <v/>
      </c>
      <c r="AO9" s="43">
        <f>MAX(0,Z9-AN9)</f>
        <v/>
      </c>
      <c r="AP9" s="43">
        <f>MAX(0,(AO9+IF(Eingaben!$C$14=3,Eingaben!$C$15,0))/Parameter!$C$57/F9)</f>
        <v/>
      </c>
      <c r="AQ9" s="43">
        <f>Parameter!$C$57*F9*(IF(AP9&lt;=Parameter!$C$18,0,IF(AP9&lt;=Parameter!$C$19,(Parameter!$C$22*(AP9-Parameter!$C$18)/10000+Parameter!$C$23)*(AP9-Parameter!$C$18)/10000,IF(AP9&lt;=Parameter!$C$20,(Parameter!$C$24*(AP9-Parameter!$C$19)/10000+Parameter!$C$25)*(AP9-Parameter!$C$19)/10000+Parameter!$C$26,IF(AP9&lt;=Parameter!$C$21,0.42*AP9-Parameter!$C$27,0.45*AP9-Parameter!$C$28)))))</f>
        <v/>
      </c>
      <c r="AR9" s="43">
        <f>AQ9+IF(AQ9&lt;=(Parameter!$C$30*Parameter!$C$57*F9),0,MIN(Parameter!$C$29*AQ9,Parameter!$C$31*(AQ9-(Parameter!$C$30*Parameter!$C$57*F9))))+Eingaben!$C$16*AQ9</f>
        <v/>
      </c>
      <c r="AS9" s="43">
        <f>AD9-AR9</f>
        <v/>
      </c>
      <c r="AT9" s="43">
        <f>MAX(0,AS9-AM9)</f>
        <v/>
      </c>
      <c r="AU9" s="43">
        <f>MIN(AJ9,Parameter!$C$47)+AM9</f>
        <v/>
      </c>
      <c r="AV9" s="43">
        <f>MAX(0,AJ9-Parameter!$C$47)+AT8</f>
        <v/>
      </c>
      <c r="AW9" s="43">
        <f>MAX(0,AI9-Parameter!$C$49)</f>
        <v/>
      </c>
      <c r="AX9" s="43">
        <f>AI9</f>
        <v/>
      </c>
      <c r="AY9" s="43">
        <f>IF(D9=0,AY8,AY8*(1+Parameter!$C$60)+R9*(1+Parameter!$C$60)^0.5)</f>
        <v/>
      </c>
      <c r="AZ9" s="43">
        <f>IF(D9=0,AZ8,AZ8*(1+Parameter!$C$60)+S9*(1+Parameter!$C$60)^0.5)</f>
        <v/>
      </c>
      <c r="BA9" s="43">
        <f>IF(D9=0,BA8,BA8*(1+Parameter!$C$61)+AU9*(1+Parameter!$C$61)^0.5)</f>
        <v/>
      </c>
      <c r="BB9" s="43">
        <f>IF(D9=0,BB8,BB8*(1+Parameter!$C$61)+AV9*(1+Parameter!$C$61)^0.5)</f>
        <v/>
      </c>
      <c r="BC9" s="43">
        <f>IF(D9=0,BC8,BC8*(1+Parameter!$C$62)+AW9*(1+Parameter!$C$62)^0.5-BF9)</f>
        <v/>
      </c>
      <c r="BD9" s="43">
        <f>IF(D9=0,BD8,BD8+AW9+BE9)</f>
        <v/>
      </c>
      <c r="BE9" s="43">
        <f>MAX(0,MIN(BC8*(1+Parameter!$C$62)+AW9*(1+Parameter!$C$62)^0.5-BC8-AW9,BC8*Parameter!$C$39*Parameter!$C$40))</f>
        <v/>
      </c>
      <c r="BF9" s="43">
        <f>MAX(0,BE9*(1-Parameter!$C$37)-Parameter!$C$67)*Parameter!$C$36</f>
        <v/>
      </c>
      <c r="BG9" s="43">
        <f>IF(D9=0,BG8,BG8*(1+Parameter!$C$62)+AX9*(1+Parameter!$C$62)^0.5-BJ9)</f>
        <v/>
      </c>
      <c r="BH9" s="43">
        <f>IF(D9=0,BH8,BH8+AX9+BI9)</f>
        <v/>
      </c>
      <c r="BI9" s="43">
        <f>MAX(0,MIN(BG8*(1+Parameter!$C$62)+AX9*(1+Parameter!$C$62)^0.5-BG8-AX9,BG8*Parameter!$C$39*Parameter!$C$40))</f>
        <v/>
      </c>
      <c r="BJ9" s="43">
        <f>MAX(0,BI9*(1-Parameter!$C$37)-Parameter!$C$67)*Parameter!$C$36</f>
        <v/>
      </c>
      <c r="BK9" s="41">
        <f>T9/(Parameter!$C$8*E9)</f>
        <v/>
      </c>
      <c r="BL9" s="41">
        <f>BL8+BK9</f>
        <v/>
      </c>
    </row>
    <row r="10">
      <c r="A10" s="30">
        <f>2026+2</f>
        <v/>
      </c>
      <c r="B10" s="30">
        <f>Eingaben!$C$5+2</f>
        <v/>
      </c>
      <c r="C10" s="30">
        <f>IF(AND(B10&lt;Eingaben!$C$8,B10&lt;Eingaben!$C$6),1,0)</f>
        <v/>
      </c>
      <c r="D10" s="30">
        <f>IF(B10&lt;Eingaben!$C$6,1,0)</f>
        <v/>
      </c>
      <c r="E10" s="38">
        <f>(1+Eingaben!$C$13)^2</f>
        <v/>
      </c>
      <c r="F10" s="38">
        <f>(1+Eingaben!$C$17)^2</f>
        <v/>
      </c>
      <c r="G10" s="39">
        <f>IF(B10&gt;=Eingaben!$C$9,Eingaben!$C$10,1)</f>
        <v/>
      </c>
      <c r="H10" s="40">
        <f>Eingaben!$C$12*E10*G10*C10</f>
        <v/>
      </c>
      <c r="I10" s="40">
        <f>Parameter!$C$4*E10</f>
        <v/>
      </c>
      <c r="J10" s="40">
        <f>Parameter!$C$5*E10</f>
        <v/>
      </c>
      <c r="K10" s="40">
        <f>MIN(H10,12*(IF(Eingaben!$C$22=2,Umrechnung!$C$54,Eingaben!$C$23))*IF(Eingaben!$C$25=1,E10,1))*C10</f>
        <v/>
      </c>
      <c r="L10" s="40">
        <f>MIN(K10,MAX(0,Parameter!$C$42*I10-P10))</f>
        <v/>
      </c>
      <c r="M10" s="40">
        <f>MIN(K10,MAX(0,Parameter!$C$43*I10-N10))</f>
        <v/>
      </c>
      <c r="N10" s="40">
        <f>C10*IF(K10/12+0.000000001&lt;Eingaben!$C$29,0,12*Eingaben!$C$27*IF(Eingaben!$C$28=1,E10,1))</f>
        <v/>
      </c>
      <c r="O10" s="40">
        <f>IF(Eingaben!$C$30=2,MIN(Eingaben!$C$26*K10,W10),Eingaben!$C$26*IF(Eingaben!$C$30=1,M10,K10))</f>
        <v/>
      </c>
      <c r="P10" s="40">
        <f>O10+N10</f>
        <v/>
      </c>
      <c r="Q10" s="40">
        <f>K10+P10</f>
        <v/>
      </c>
      <c r="R10" s="40">
        <f>MIN(Q10,Parameter!$C$42*I10)</f>
        <v/>
      </c>
      <c r="S10" s="40">
        <f>Q10-R10</f>
        <v/>
      </c>
      <c r="T10" s="40">
        <f>MIN(H10,I10)-MIN(H10-M10,I10)</f>
        <v/>
      </c>
      <c r="U10" s="40">
        <f>MIN(H10,J10)-MIN(H10-M10,J10)</f>
        <v/>
      </c>
      <c r="V10" s="40">
        <f>T10*(Parameter!$C$10+Parameter!$C$11)+U10*((Parameter!$C$12+Parameter!$C$13)/2+Parameter!$C$58)</f>
        <v/>
      </c>
      <c r="W10" s="40">
        <f>T10*(Parameter!$C$10+Parameter!$C$11)+U10*((Parameter!$C$12+Parameter!$C$13)/2+Parameter!$C$15)</f>
        <v/>
      </c>
      <c r="X10" s="40">
        <f>MIN(H10,I10)*Parameter!$C$10+MIN(H10,J10)*(0.96*(Parameter!$C$12+Parameter!$C$13)/2+Parameter!$C$58)</f>
        <v/>
      </c>
      <c r="Y10" s="40">
        <f>MIN(H10-M10,I10)*Parameter!$C$10+MIN(H10-M10,J10)*(0.96*(Parameter!$C$12+Parameter!$C$13)/2+Parameter!$C$58)</f>
        <v/>
      </c>
      <c r="Z10" s="40">
        <f>MAX(0,H10-Parameter!$C$32*F10-Parameter!$C$33-X10)</f>
        <v/>
      </c>
      <c r="AA10" s="40">
        <f>MAX(0,H10-L10-Parameter!$C$32*F10-Parameter!$C$33-Y10)</f>
        <v/>
      </c>
      <c r="AB10" s="40">
        <f>MAX(0,(Z10+IF(Eingaben!$C$14=3,Eingaben!$C$15,0))/Parameter!$C$57/F10)</f>
        <v/>
      </c>
      <c r="AC10" s="40">
        <f>Parameter!$C$57*F10*(IF(AB10&lt;=Parameter!$C$18,0,IF(AB10&lt;=Parameter!$C$19,(Parameter!$C$22*(AB10-Parameter!$C$18)/10000+Parameter!$C$23)*(AB10-Parameter!$C$18)/10000,IF(AB10&lt;=Parameter!$C$20,(Parameter!$C$24*(AB10-Parameter!$C$19)/10000+Parameter!$C$25)*(AB10-Parameter!$C$19)/10000+Parameter!$C$26,IF(AB10&lt;=Parameter!$C$21,0.42*AB10-Parameter!$C$27,0.45*AB10-Parameter!$C$28)))))</f>
        <v/>
      </c>
      <c r="AD10" s="40">
        <f>AC10+IF(AC10&lt;=(Parameter!$C$30*Parameter!$C$57*F10),0,MIN(Parameter!$C$29*AC10,Parameter!$C$31*(AC10-(Parameter!$C$30*Parameter!$C$57*F10))))+Eingaben!$C$16*AC10</f>
        <v/>
      </c>
      <c r="AE10" s="40">
        <f>MAX(0,(AA10+IF(Eingaben!$C$14=3,Eingaben!$C$15,0))/Parameter!$C$57/F10)</f>
        <v/>
      </c>
      <c r="AF10" s="40">
        <f>Parameter!$C$57*F10*(IF(AE10&lt;=Parameter!$C$18,0,IF(AE10&lt;=Parameter!$C$19,(Parameter!$C$22*(AE10-Parameter!$C$18)/10000+Parameter!$C$23)*(AE10-Parameter!$C$18)/10000,IF(AE10&lt;=Parameter!$C$20,(Parameter!$C$24*(AE10-Parameter!$C$19)/10000+Parameter!$C$25)*(AE10-Parameter!$C$19)/10000+Parameter!$C$26,IF(AE10&lt;=Parameter!$C$21,0.42*AE10-Parameter!$C$27,0.45*AE10-Parameter!$C$28)))))</f>
        <v/>
      </c>
      <c r="AG10" s="40">
        <f>AF10+IF(AF10&lt;=(Parameter!$C$30*Parameter!$C$57*F10),0,MIN(Parameter!$C$29*AF10,Parameter!$C$31*(AF10-(Parameter!$C$30*Parameter!$C$57*F10))))+Eingaben!$C$16*AF10</f>
        <v/>
      </c>
      <c r="AH10" s="40">
        <f>AD10-AG10</f>
        <v/>
      </c>
      <c r="AI10" s="40">
        <f>MAX(0,K10-V10-AH10)</f>
        <v/>
      </c>
      <c r="AJ10" s="40">
        <f>MIN(AI10,Parameter!$C$49)</f>
        <v/>
      </c>
      <c r="AK10" s="40">
        <f>Parameter!$C$44*MIN(AJ10,Parameter!$C$45)+Parameter!$C$46*MAX(0,MIN(AJ10,Parameter!$C$47)-Parameter!$C$45)</f>
        <v/>
      </c>
      <c r="AL10" s="40">
        <f>MIN(AJ10,Parameter!$C$48)*Eingaben!$C$18*IF(2&lt;Eingaben!$C$19,1,0)</f>
        <v/>
      </c>
      <c r="AM10" s="40">
        <f>MIN(AK10+AL10,MAX(0,Parameter!$C$49-AJ10))</f>
        <v/>
      </c>
      <c r="AN10" s="40">
        <f>MIN(MIN(AJ10,Parameter!$C$47)+AM10,Parameter!$C$50)</f>
        <v/>
      </c>
      <c r="AO10" s="40">
        <f>MAX(0,Z10-AN10)</f>
        <v/>
      </c>
      <c r="AP10" s="40">
        <f>MAX(0,(AO10+IF(Eingaben!$C$14=3,Eingaben!$C$15,0))/Parameter!$C$57/F10)</f>
        <v/>
      </c>
      <c r="AQ10" s="40">
        <f>Parameter!$C$57*F10*(IF(AP10&lt;=Parameter!$C$18,0,IF(AP10&lt;=Parameter!$C$19,(Parameter!$C$22*(AP10-Parameter!$C$18)/10000+Parameter!$C$23)*(AP10-Parameter!$C$18)/10000,IF(AP10&lt;=Parameter!$C$20,(Parameter!$C$24*(AP10-Parameter!$C$19)/10000+Parameter!$C$25)*(AP10-Parameter!$C$19)/10000+Parameter!$C$26,IF(AP10&lt;=Parameter!$C$21,0.42*AP10-Parameter!$C$27,0.45*AP10-Parameter!$C$28)))))</f>
        <v/>
      </c>
      <c r="AR10" s="40">
        <f>AQ10+IF(AQ10&lt;=(Parameter!$C$30*Parameter!$C$57*F10),0,MIN(Parameter!$C$29*AQ10,Parameter!$C$31*(AQ10-(Parameter!$C$30*Parameter!$C$57*F10))))+Eingaben!$C$16*AQ10</f>
        <v/>
      </c>
      <c r="AS10" s="40">
        <f>AD10-AR10</f>
        <v/>
      </c>
      <c r="AT10" s="40">
        <f>MAX(0,AS10-AM10)</f>
        <v/>
      </c>
      <c r="AU10" s="40">
        <f>MIN(AJ10,Parameter!$C$47)+AM10</f>
        <v/>
      </c>
      <c r="AV10" s="40">
        <f>MAX(0,AJ10-Parameter!$C$47)+AT9</f>
        <v/>
      </c>
      <c r="AW10" s="40">
        <f>MAX(0,AI10-Parameter!$C$49)</f>
        <v/>
      </c>
      <c r="AX10" s="40">
        <f>AI10</f>
        <v/>
      </c>
      <c r="AY10" s="40">
        <f>IF(D10=0,AY9,AY9*(1+Parameter!$C$60)+R10*(1+Parameter!$C$60)^0.5)</f>
        <v/>
      </c>
      <c r="AZ10" s="40">
        <f>IF(D10=0,AZ9,AZ9*(1+Parameter!$C$60)+S10*(1+Parameter!$C$60)^0.5)</f>
        <v/>
      </c>
      <c r="BA10" s="40">
        <f>IF(D10=0,BA9,BA9*(1+Parameter!$C$61)+AU10*(1+Parameter!$C$61)^0.5)</f>
        <v/>
      </c>
      <c r="BB10" s="40">
        <f>IF(D10=0,BB9,BB9*(1+Parameter!$C$61)+AV10*(1+Parameter!$C$61)^0.5)</f>
        <v/>
      </c>
      <c r="BC10" s="40">
        <f>IF(D10=0,BC9,BC9*(1+Parameter!$C$62)+AW10*(1+Parameter!$C$62)^0.5-BF10)</f>
        <v/>
      </c>
      <c r="BD10" s="40">
        <f>IF(D10=0,BD9,BD9+AW10+BE10)</f>
        <v/>
      </c>
      <c r="BE10" s="40">
        <f>MAX(0,MIN(BC9*(1+Parameter!$C$62)+AW10*(1+Parameter!$C$62)^0.5-BC9-AW10,BC9*Parameter!$C$39*Parameter!$C$40))</f>
        <v/>
      </c>
      <c r="BF10" s="40">
        <f>MAX(0,BE10*(1-Parameter!$C$37)-Parameter!$C$67)*Parameter!$C$36</f>
        <v/>
      </c>
      <c r="BG10" s="40">
        <f>IF(D10=0,BG9,BG9*(1+Parameter!$C$62)+AX10*(1+Parameter!$C$62)^0.5-BJ10)</f>
        <v/>
      </c>
      <c r="BH10" s="40">
        <f>IF(D10=0,BH9,BH9+AX10+BI10)</f>
        <v/>
      </c>
      <c r="BI10" s="40">
        <f>MAX(0,MIN(BG9*(1+Parameter!$C$62)+AX10*(1+Parameter!$C$62)^0.5-BG9-AX10,BG9*Parameter!$C$39*Parameter!$C$40))</f>
        <v/>
      </c>
      <c r="BJ10" s="40">
        <f>MAX(0,BI10*(1-Parameter!$C$37)-Parameter!$C$67)*Parameter!$C$36</f>
        <v/>
      </c>
      <c r="BK10" s="38">
        <f>T10/(Parameter!$C$8*E10)</f>
        <v/>
      </c>
      <c r="BL10" s="38">
        <f>BL9+BK10</f>
        <v/>
      </c>
    </row>
    <row r="11">
      <c r="A11" s="32">
        <f>2026+3</f>
        <v/>
      </c>
      <c r="B11" s="32">
        <f>Eingaben!$C$5+3</f>
        <v/>
      </c>
      <c r="C11" s="32">
        <f>IF(AND(B11&lt;Eingaben!$C$8,B11&lt;Eingaben!$C$6),1,0)</f>
        <v/>
      </c>
      <c r="D11" s="32">
        <f>IF(B11&lt;Eingaben!$C$6,1,0)</f>
        <v/>
      </c>
      <c r="E11" s="41">
        <f>(1+Eingaben!$C$13)^3</f>
        <v/>
      </c>
      <c r="F11" s="41">
        <f>(1+Eingaben!$C$17)^3</f>
        <v/>
      </c>
      <c r="G11" s="42">
        <f>IF(B11&gt;=Eingaben!$C$9,Eingaben!$C$10,1)</f>
        <v/>
      </c>
      <c r="H11" s="43">
        <f>Eingaben!$C$12*E11*G11*C11</f>
        <v/>
      </c>
      <c r="I11" s="43">
        <f>Parameter!$C$4*E11</f>
        <v/>
      </c>
      <c r="J11" s="43">
        <f>Parameter!$C$5*E11</f>
        <v/>
      </c>
      <c r="K11" s="43">
        <f>MIN(H11,12*(IF(Eingaben!$C$22=2,Umrechnung!$C$54,Eingaben!$C$23))*IF(Eingaben!$C$25=1,E11,1))*C11</f>
        <v/>
      </c>
      <c r="L11" s="43">
        <f>MIN(K11,MAX(0,Parameter!$C$42*I11-P11))</f>
        <v/>
      </c>
      <c r="M11" s="43">
        <f>MIN(K11,MAX(0,Parameter!$C$43*I11-N11))</f>
        <v/>
      </c>
      <c r="N11" s="43">
        <f>C11*IF(K11/12+0.000000001&lt;Eingaben!$C$29,0,12*Eingaben!$C$27*IF(Eingaben!$C$28=1,E11,1))</f>
        <v/>
      </c>
      <c r="O11" s="43">
        <f>IF(Eingaben!$C$30=2,MIN(Eingaben!$C$26*K11,W11),Eingaben!$C$26*IF(Eingaben!$C$30=1,M11,K11))</f>
        <v/>
      </c>
      <c r="P11" s="43">
        <f>O11+N11</f>
        <v/>
      </c>
      <c r="Q11" s="43">
        <f>K11+P11</f>
        <v/>
      </c>
      <c r="R11" s="43">
        <f>MIN(Q11,Parameter!$C$42*I11)</f>
        <v/>
      </c>
      <c r="S11" s="43">
        <f>Q11-R11</f>
        <v/>
      </c>
      <c r="T11" s="43">
        <f>MIN(H11,I11)-MIN(H11-M11,I11)</f>
        <v/>
      </c>
      <c r="U11" s="43">
        <f>MIN(H11,J11)-MIN(H11-M11,J11)</f>
        <v/>
      </c>
      <c r="V11" s="43">
        <f>T11*(Parameter!$C$10+Parameter!$C$11)+U11*((Parameter!$C$12+Parameter!$C$13)/2+Parameter!$C$58)</f>
        <v/>
      </c>
      <c r="W11" s="43">
        <f>T11*(Parameter!$C$10+Parameter!$C$11)+U11*((Parameter!$C$12+Parameter!$C$13)/2+Parameter!$C$15)</f>
        <v/>
      </c>
      <c r="X11" s="43">
        <f>MIN(H11,I11)*Parameter!$C$10+MIN(H11,J11)*(0.96*(Parameter!$C$12+Parameter!$C$13)/2+Parameter!$C$58)</f>
        <v/>
      </c>
      <c r="Y11" s="43">
        <f>MIN(H11-M11,I11)*Parameter!$C$10+MIN(H11-M11,J11)*(0.96*(Parameter!$C$12+Parameter!$C$13)/2+Parameter!$C$58)</f>
        <v/>
      </c>
      <c r="Z11" s="43">
        <f>MAX(0,H11-Parameter!$C$32*F11-Parameter!$C$33-X11)</f>
        <v/>
      </c>
      <c r="AA11" s="43">
        <f>MAX(0,H11-L11-Parameter!$C$32*F11-Parameter!$C$33-Y11)</f>
        <v/>
      </c>
      <c r="AB11" s="43">
        <f>MAX(0,(Z11+IF(Eingaben!$C$14=3,Eingaben!$C$15,0))/Parameter!$C$57/F11)</f>
        <v/>
      </c>
      <c r="AC11" s="43">
        <f>Parameter!$C$57*F11*(IF(AB11&lt;=Parameter!$C$18,0,IF(AB11&lt;=Parameter!$C$19,(Parameter!$C$22*(AB11-Parameter!$C$18)/10000+Parameter!$C$23)*(AB11-Parameter!$C$18)/10000,IF(AB11&lt;=Parameter!$C$20,(Parameter!$C$24*(AB11-Parameter!$C$19)/10000+Parameter!$C$25)*(AB11-Parameter!$C$19)/10000+Parameter!$C$26,IF(AB11&lt;=Parameter!$C$21,0.42*AB11-Parameter!$C$27,0.45*AB11-Parameter!$C$28)))))</f>
        <v/>
      </c>
      <c r="AD11" s="43">
        <f>AC11+IF(AC11&lt;=(Parameter!$C$30*Parameter!$C$57*F11),0,MIN(Parameter!$C$29*AC11,Parameter!$C$31*(AC11-(Parameter!$C$30*Parameter!$C$57*F11))))+Eingaben!$C$16*AC11</f>
        <v/>
      </c>
      <c r="AE11" s="43">
        <f>MAX(0,(AA11+IF(Eingaben!$C$14=3,Eingaben!$C$15,0))/Parameter!$C$57/F11)</f>
        <v/>
      </c>
      <c r="AF11" s="43">
        <f>Parameter!$C$57*F11*(IF(AE11&lt;=Parameter!$C$18,0,IF(AE11&lt;=Parameter!$C$19,(Parameter!$C$22*(AE11-Parameter!$C$18)/10000+Parameter!$C$23)*(AE11-Parameter!$C$18)/10000,IF(AE11&lt;=Parameter!$C$20,(Parameter!$C$24*(AE11-Parameter!$C$19)/10000+Parameter!$C$25)*(AE11-Parameter!$C$19)/10000+Parameter!$C$26,IF(AE11&lt;=Parameter!$C$21,0.42*AE11-Parameter!$C$27,0.45*AE11-Parameter!$C$28)))))</f>
        <v/>
      </c>
      <c r="AG11" s="43">
        <f>AF11+IF(AF11&lt;=(Parameter!$C$30*Parameter!$C$57*F11),0,MIN(Parameter!$C$29*AF11,Parameter!$C$31*(AF11-(Parameter!$C$30*Parameter!$C$57*F11))))+Eingaben!$C$16*AF11</f>
        <v/>
      </c>
      <c r="AH11" s="43">
        <f>AD11-AG11</f>
        <v/>
      </c>
      <c r="AI11" s="43">
        <f>MAX(0,K11-V11-AH11)</f>
        <v/>
      </c>
      <c r="AJ11" s="43">
        <f>MIN(AI11,Parameter!$C$49)</f>
        <v/>
      </c>
      <c r="AK11" s="43">
        <f>Parameter!$C$44*MIN(AJ11,Parameter!$C$45)+Parameter!$C$46*MAX(0,MIN(AJ11,Parameter!$C$47)-Parameter!$C$45)</f>
        <v/>
      </c>
      <c r="AL11" s="43">
        <f>MIN(AJ11,Parameter!$C$48)*Eingaben!$C$18*IF(3&lt;Eingaben!$C$19,1,0)</f>
        <v/>
      </c>
      <c r="AM11" s="43">
        <f>MIN(AK11+AL11,MAX(0,Parameter!$C$49-AJ11))</f>
        <v/>
      </c>
      <c r="AN11" s="43">
        <f>MIN(MIN(AJ11,Parameter!$C$47)+AM11,Parameter!$C$50)</f>
        <v/>
      </c>
      <c r="AO11" s="43">
        <f>MAX(0,Z11-AN11)</f>
        <v/>
      </c>
      <c r="AP11" s="43">
        <f>MAX(0,(AO11+IF(Eingaben!$C$14=3,Eingaben!$C$15,0))/Parameter!$C$57/F11)</f>
        <v/>
      </c>
      <c r="AQ11" s="43">
        <f>Parameter!$C$57*F11*(IF(AP11&lt;=Parameter!$C$18,0,IF(AP11&lt;=Parameter!$C$19,(Parameter!$C$22*(AP11-Parameter!$C$18)/10000+Parameter!$C$23)*(AP11-Parameter!$C$18)/10000,IF(AP11&lt;=Parameter!$C$20,(Parameter!$C$24*(AP11-Parameter!$C$19)/10000+Parameter!$C$25)*(AP11-Parameter!$C$19)/10000+Parameter!$C$26,IF(AP11&lt;=Parameter!$C$21,0.42*AP11-Parameter!$C$27,0.45*AP11-Parameter!$C$28)))))</f>
        <v/>
      </c>
      <c r="AR11" s="43">
        <f>AQ11+IF(AQ11&lt;=(Parameter!$C$30*Parameter!$C$57*F11),0,MIN(Parameter!$C$29*AQ11,Parameter!$C$31*(AQ11-(Parameter!$C$30*Parameter!$C$57*F11))))+Eingaben!$C$16*AQ11</f>
        <v/>
      </c>
      <c r="AS11" s="43">
        <f>AD11-AR11</f>
        <v/>
      </c>
      <c r="AT11" s="43">
        <f>MAX(0,AS11-AM11)</f>
        <v/>
      </c>
      <c r="AU11" s="43">
        <f>MIN(AJ11,Parameter!$C$47)+AM11</f>
        <v/>
      </c>
      <c r="AV11" s="43">
        <f>MAX(0,AJ11-Parameter!$C$47)+AT10</f>
        <v/>
      </c>
      <c r="AW11" s="43">
        <f>MAX(0,AI11-Parameter!$C$49)</f>
        <v/>
      </c>
      <c r="AX11" s="43">
        <f>AI11</f>
        <v/>
      </c>
      <c r="AY11" s="43">
        <f>IF(D11=0,AY10,AY10*(1+Parameter!$C$60)+R11*(1+Parameter!$C$60)^0.5)</f>
        <v/>
      </c>
      <c r="AZ11" s="43">
        <f>IF(D11=0,AZ10,AZ10*(1+Parameter!$C$60)+S11*(1+Parameter!$C$60)^0.5)</f>
        <v/>
      </c>
      <c r="BA11" s="43">
        <f>IF(D11=0,BA10,BA10*(1+Parameter!$C$61)+AU11*(1+Parameter!$C$61)^0.5)</f>
        <v/>
      </c>
      <c r="BB11" s="43">
        <f>IF(D11=0,BB10,BB10*(1+Parameter!$C$61)+AV11*(1+Parameter!$C$61)^0.5)</f>
        <v/>
      </c>
      <c r="BC11" s="43">
        <f>IF(D11=0,BC10,BC10*(1+Parameter!$C$62)+AW11*(1+Parameter!$C$62)^0.5-BF11)</f>
        <v/>
      </c>
      <c r="BD11" s="43">
        <f>IF(D11=0,BD10,BD10+AW11+BE11)</f>
        <v/>
      </c>
      <c r="BE11" s="43">
        <f>MAX(0,MIN(BC10*(1+Parameter!$C$62)+AW11*(1+Parameter!$C$62)^0.5-BC10-AW11,BC10*Parameter!$C$39*Parameter!$C$40))</f>
        <v/>
      </c>
      <c r="BF11" s="43">
        <f>MAX(0,BE11*(1-Parameter!$C$37)-Parameter!$C$67)*Parameter!$C$36</f>
        <v/>
      </c>
      <c r="BG11" s="43">
        <f>IF(D11=0,BG10,BG10*(1+Parameter!$C$62)+AX11*(1+Parameter!$C$62)^0.5-BJ11)</f>
        <v/>
      </c>
      <c r="BH11" s="43">
        <f>IF(D11=0,BH10,BH10+AX11+BI11)</f>
        <v/>
      </c>
      <c r="BI11" s="43">
        <f>MAX(0,MIN(BG10*(1+Parameter!$C$62)+AX11*(1+Parameter!$C$62)^0.5-BG10-AX11,BG10*Parameter!$C$39*Parameter!$C$40))</f>
        <v/>
      </c>
      <c r="BJ11" s="43">
        <f>MAX(0,BI11*(1-Parameter!$C$37)-Parameter!$C$67)*Parameter!$C$36</f>
        <v/>
      </c>
      <c r="BK11" s="41">
        <f>T11/(Parameter!$C$8*E11)</f>
        <v/>
      </c>
      <c r="BL11" s="41">
        <f>BL10+BK11</f>
        <v/>
      </c>
    </row>
    <row r="12">
      <c r="A12" s="30">
        <f>2026+4</f>
        <v/>
      </c>
      <c r="B12" s="30">
        <f>Eingaben!$C$5+4</f>
        <v/>
      </c>
      <c r="C12" s="30">
        <f>IF(AND(B12&lt;Eingaben!$C$8,B12&lt;Eingaben!$C$6),1,0)</f>
        <v/>
      </c>
      <c r="D12" s="30">
        <f>IF(B12&lt;Eingaben!$C$6,1,0)</f>
        <v/>
      </c>
      <c r="E12" s="38">
        <f>(1+Eingaben!$C$13)^4</f>
        <v/>
      </c>
      <c r="F12" s="38">
        <f>(1+Eingaben!$C$17)^4</f>
        <v/>
      </c>
      <c r="G12" s="39">
        <f>IF(B12&gt;=Eingaben!$C$9,Eingaben!$C$10,1)</f>
        <v/>
      </c>
      <c r="H12" s="40">
        <f>Eingaben!$C$12*E12*G12*C12</f>
        <v/>
      </c>
      <c r="I12" s="40">
        <f>Parameter!$C$4*E12</f>
        <v/>
      </c>
      <c r="J12" s="40">
        <f>Parameter!$C$5*E12</f>
        <v/>
      </c>
      <c r="K12" s="40">
        <f>MIN(H12,12*(IF(Eingaben!$C$22=2,Umrechnung!$C$54,Eingaben!$C$23))*IF(Eingaben!$C$25=1,E12,1))*C12</f>
        <v/>
      </c>
      <c r="L12" s="40">
        <f>MIN(K12,MAX(0,Parameter!$C$42*I12-P12))</f>
        <v/>
      </c>
      <c r="M12" s="40">
        <f>MIN(K12,MAX(0,Parameter!$C$43*I12-N12))</f>
        <v/>
      </c>
      <c r="N12" s="40">
        <f>C12*IF(K12/12+0.000000001&lt;Eingaben!$C$29,0,12*Eingaben!$C$27*IF(Eingaben!$C$28=1,E12,1))</f>
        <v/>
      </c>
      <c r="O12" s="40">
        <f>IF(Eingaben!$C$30=2,MIN(Eingaben!$C$26*K12,W12),Eingaben!$C$26*IF(Eingaben!$C$30=1,M12,K12))</f>
        <v/>
      </c>
      <c r="P12" s="40">
        <f>O12+N12</f>
        <v/>
      </c>
      <c r="Q12" s="40">
        <f>K12+P12</f>
        <v/>
      </c>
      <c r="R12" s="40">
        <f>MIN(Q12,Parameter!$C$42*I12)</f>
        <v/>
      </c>
      <c r="S12" s="40">
        <f>Q12-R12</f>
        <v/>
      </c>
      <c r="T12" s="40">
        <f>MIN(H12,I12)-MIN(H12-M12,I12)</f>
        <v/>
      </c>
      <c r="U12" s="40">
        <f>MIN(H12,J12)-MIN(H12-M12,J12)</f>
        <v/>
      </c>
      <c r="V12" s="40">
        <f>T12*(Parameter!$C$10+Parameter!$C$11)+U12*((Parameter!$C$12+Parameter!$C$13)/2+Parameter!$C$58)</f>
        <v/>
      </c>
      <c r="W12" s="40">
        <f>T12*(Parameter!$C$10+Parameter!$C$11)+U12*((Parameter!$C$12+Parameter!$C$13)/2+Parameter!$C$15)</f>
        <v/>
      </c>
      <c r="X12" s="40">
        <f>MIN(H12,I12)*Parameter!$C$10+MIN(H12,J12)*(0.96*(Parameter!$C$12+Parameter!$C$13)/2+Parameter!$C$58)</f>
        <v/>
      </c>
      <c r="Y12" s="40">
        <f>MIN(H12-M12,I12)*Parameter!$C$10+MIN(H12-M12,J12)*(0.96*(Parameter!$C$12+Parameter!$C$13)/2+Parameter!$C$58)</f>
        <v/>
      </c>
      <c r="Z12" s="40">
        <f>MAX(0,H12-Parameter!$C$32*F12-Parameter!$C$33-X12)</f>
        <v/>
      </c>
      <c r="AA12" s="40">
        <f>MAX(0,H12-L12-Parameter!$C$32*F12-Parameter!$C$33-Y12)</f>
        <v/>
      </c>
      <c r="AB12" s="40">
        <f>MAX(0,(Z12+IF(Eingaben!$C$14=3,Eingaben!$C$15,0))/Parameter!$C$57/F12)</f>
        <v/>
      </c>
      <c r="AC12" s="40">
        <f>Parameter!$C$57*F12*(IF(AB12&lt;=Parameter!$C$18,0,IF(AB12&lt;=Parameter!$C$19,(Parameter!$C$22*(AB12-Parameter!$C$18)/10000+Parameter!$C$23)*(AB12-Parameter!$C$18)/10000,IF(AB12&lt;=Parameter!$C$20,(Parameter!$C$24*(AB12-Parameter!$C$19)/10000+Parameter!$C$25)*(AB12-Parameter!$C$19)/10000+Parameter!$C$26,IF(AB12&lt;=Parameter!$C$21,0.42*AB12-Parameter!$C$27,0.45*AB12-Parameter!$C$28)))))</f>
        <v/>
      </c>
      <c r="AD12" s="40">
        <f>AC12+IF(AC12&lt;=(Parameter!$C$30*Parameter!$C$57*F12),0,MIN(Parameter!$C$29*AC12,Parameter!$C$31*(AC12-(Parameter!$C$30*Parameter!$C$57*F12))))+Eingaben!$C$16*AC12</f>
        <v/>
      </c>
      <c r="AE12" s="40">
        <f>MAX(0,(AA12+IF(Eingaben!$C$14=3,Eingaben!$C$15,0))/Parameter!$C$57/F12)</f>
        <v/>
      </c>
      <c r="AF12" s="40">
        <f>Parameter!$C$57*F12*(IF(AE12&lt;=Parameter!$C$18,0,IF(AE12&lt;=Parameter!$C$19,(Parameter!$C$22*(AE12-Parameter!$C$18)/10000+Parameter!$C$23)*(AE12-Parameter!$C$18)/10000,IF(AE12&lt;=Parameter!$C$20,(Parameter!$C$24*(AE12-Parameter!$C$19)/10000+Parameter!$C$25)*(AE12-Parameter!$C$19)/10000+Parameter!$C$26,IF(AE12&lt;=Parameter!$C$21,0.42*AE12-Parameter!$C$27,0.45*AE12-Parameter!$C$28)))))</f>
        <v/>
      </c>
      <c r="AG12" s="40">
        <f>AF12+IF(AF12&lt;=(Parameter!$C$30*Parameter!$C$57*F12),0,MIN(Parameter!$C$29*AF12,Parameter!$C$31*(AF12-(Parameter!$C$30*Parameter!$C$57*F12))))+Eingaben!$C$16*AF12</f>
        <v/>
      </c>
      <c r="AH12" s="40">
        <f>AD12-AG12</f>
        <v/>
      </c>
      <c r="AI12" s="40">
        <f>MAX(0,K12-V12-AH12)</f>
        <v/>
      </c>
      <c r="AJ12" s="40">
        <f>MIN(AI12,Parameter!$C$49)</f>
        <v/>
      </c>
      <c r="AK12" s="40">
        <f>Parameter!$C$44*MIN(AJ12,Parameter!$C$45)+Parameter!$C$46*MAX(0,MIN(AJ12,Parameter!$C$47)-Parameter!$C$45)</f>
        <v/>
      </c>
      <c r="AL12" s="40">
        <f>MIN(AJ12,Parameter!$C$48)*Eingaben!$C$18*IF(4&lt;Eingaben!$C$19,1,0)</f>
        <v/>
      </c>
      <c r="AM12" s="40">
        <f>MIN(AK12+AL12,MAX(0,Parameter!$C$49-AJ12))</f>
        <v/>
      </c>
      <c r="AN12" s="40">
        <f>MIN(MIN(AJ12,Parameter!$C$47)+AM12,Parameter!$C$50)</f>
        <v/>
      </c>
      <c r="AO12" s="40">
        <f>MAX(0,Z12-AN12)</f>
        <v/>
      </c>
      <c r="AP12" s="40">
        <f>MAX(0,(AO12+IF(Eingaben!$C$14=3,Eingaben!$C$15,0))/Parameter!$C$57/F12)</f>
        <v/>
      </c>
      <c r="AQ12" s="40">
        <f>Parameter!$C$57*F12*(IF(AP12&lt;=Parameter!$C$18,0,IF(AP12&lt;=Parameter!$C$19,(Parameter!$C$22*(AP12-Parameter!$C$18)/10000+Parameter!$C$23)*(AP12-Parameter!$C$18)/10000,IF(AP12&lt;=Parameter!$C$20,(Parameter!$C$24*(AP12-Parameter!$C$19)/10000+Parameter!$C$25)*(AP12-Parameter!$C$19)/10000+Parameter!$C$26,IF(AP12&lt;=Parameter!$C$21,0.42*AP12-Parameter!$C$27,0.45*AP12-Parameter!$C$28)))))</f>
        <v/>
      </c>
      <c r="AR12" s="40">
        <f>AQ12+IF(AQ12&lt;=(Parameter!$C$30*Parameter!$C$57*F12),0,MIN(Parameter!$C$29*AQ12,Parameter!$C$31*(AQ12-(Parameter!$C$30*Parameter!$C$57*F12))))+Eingaben!$C$16*AQ12</f>
        <v/>
      </c>
      <c r="AS12" s="40">
        <f>AD12-AR12</f>
        <v/>
      </c>
      <c r="AT12" s="40">
        <f>MAX(0,AS12-AM12)</f>
        <v/>
      </c>
      <c r="AU12" s="40">
        <f>MIN(AJ12,Parameter!$C$47)+AM12</f>
        <v/>
      </c>
      <c r="AV12" s="40">
        <f>MAX(0,AJ12-Parameter!$C$47)+AT11</f>
        <v/>
      </c>
      <c r="AW12" s="40">
        <f>MAX(0,AI12-Parameter!$C$49)</f>
        <v/>
      </c>
      <c r="AX12" s="40">
        <f>AI12</f>
        <v/>
      </c>
      <c r="AY12" s="40">
        <f>IF(D12=0,AY11,AY11*(1+Parameter!$C$60)+R12*(1+Parameter!$C$60)^0.5)</f>
        <v/>
      </c>
      <c r="AZ12" s="40">
        <f>IF(D12=0,AZ11,AZ11*(1+Parameter!$C$60)+S12*(1+Parameter!$C$60)^0.5)</f>
        <v/>
      </c>
      <c r="BA12" s="40">
        <f>IF(D12=0,BA11,BA11*(1+Parameter!$C$61)+AU12*(1+Parameter!$C$61)^0.5)</f>
        <v/>
      </c>
      <c r="BB12" s="40">
        <f>IF(D12=0,BB11,BB11*(1+Parameter!$C$61)+AV12*(1+Parameter!$C$61)^0.5)</f>
        <v/>
      </c>
      <c r="BC12" s="40">
        <f>IF(D12=0,BC11,BC11*(1+Parameter!$C$62)+AW12*(1+Parameter!$C$62)^0.5-BF12)</f>
        <v/>
      </c>
      <c r="BD12" s="40">
        <f>IF(D12=0,BD11,BD11+AW12+BE12)</f>
        <v/>
      </c>
      <c r="BE12" s="40">
        <f>MAX(0,MIN(BC11*(1+Parameter!$C$62)+AW12*(1+Parameter!$C$62)^0.5-BC11-AW12,BC11*Parameter!$C$39*Parameter!$C$40))</f>
        <v/>
      </c>
      <c r="BF12" s="40">
        <f>MAX(0,BE12*(1-Parameter!$C$37)-Parameter!$C$67)*Parameter!$C$36</f>
        <v/>
      </c>
      <c r="BG12" s="40">
        <f>IF(D12=0,BG11,BG11*(1+Parameter!$C$62)+AX12*(1+Parameter!$C$62)^0.5-BJ12)</f>
        <v/>
      </c>
      <c r="BH12" s="40">
        <f>IF(D12=0,BH11,BH11+AX12+BI12)</f>
        <v/>
      </c>
      <c r="BI12" s="40">
        <f>MAX(0,MIN(BG11*(1+Parameter!$C$62)+AX12*(1+Parameter!$C$62)^0.5-BG11-AX12,BG11*Parameter!$C$39*Parameter!$C$40))</f>
        <v/>
      </c>
      <c r="BJ12" s="40">
        <f>MAX(0,BI12*(1-Parameter!$C$37)-Parameter!$C$67)*Parameter!$C$36</f>
        <v/>
      </c>
      <c r="BK12" s="38">
        <f>T12/(Parameter!$C$8*E12)</f>
        <v/>
      </c>
      <c r="BL12" s="38">
        <f>BL11+BK12</f>
        <v/>
      </c>
    </row>
    <row r="13">
      <c r="A13" s="32">
        <f>2026+5</f>
        <v/>
      </c>
      <c r="B13" s="32">
        <f>Eingaben!$C$5+5</f>
        <v/>
      </c>
      <c r="C13" s="32">
        <f>IF(AND(B13&lt;Eingaben!$C$8,B13&lt;Eingaben!$C$6),1,0)</f>
        <v/>
      </c>
      <c r="D13" s="32">
        <f>IF(B13&lt;Eingaben!$C$6,1,0)</f>
        <v/>
      </c>
      <c r="E13" s="41">
        <f>(1+Eingaben!$C$13)^5</f>
        <v/>
      </c>
      <c r="F13" s="41">
        <f>(1+Eingaben!$C$17)^5</f>
        <v/>
      </c>
      <c r="G13" s="42">
        <f>IF(B13&gt;=Eingaben!$C$9,Eingaben!$C$10,1)</f>
        <v/>
      </c>
      <c r="H13" s="43">
        <f>Eingaben!$C$12*E13*G13*C13</f>
        <v/>
      </c>
      <c r="I13" s="43">
        <f>Parameter!$C$4*E13</f>
        <v/>
      </c>
      <c r="J13" s="43">
        <f>Parameter!$C$5*E13</f>
        <v/>
      </c>
      <c r="K13" s="43">
        <f>MIN(H13,12*(IF(Eingaben!$C$22=2,Umrechnung!$C$54,Eingaben!$C$23))*IF(Eingaben!$C$25=1,E13,1))*C13</f>
        <v/>
      </c>
      <c r="L13" s="43">
        <f>MIN(K13,MAX(0,Parameter!$C$42*I13-P13))</f>
        <v/>
      </c>
      <c r="M13" s="43">
        <f>MIN(K13,MAX(0,Parameter!$C$43*I13-N13))</f>
        <v/>
      </c>
      <c r="N13" s="43">
        <f>C13*IF(K13/12+0.000000001&lt;Eingaben!$C$29,0,12*Eingaben!$C$27*IF(Eingaben!$C$28=1,E13,1))</f>
        <v/>
      </c>
      <c r="O13" s="43">
        <f>IF(Eingaben!$C$30=2,MIN(Eingaben!$C$26*K13,W13),Eingaben!$C$26*IF(Eingaben!$C$30=1,M13,K13))</f>
        <v/>
      </c>
      <c r="P13" s="43">
        <f>O13+N13</f>
        <v/>
      </c>
      <c r="Q13" s="43">
        <f>K13+P13</f>
        <v/>
      </c>
      <c r="R13" s="43">
        <f>MIN(Q13,Parameter!$C$42*I13)</f>
        <v/>
      </c>
      <c r="S13" s="43">
        <f>Q13-R13</f>
        <v/>
      </c>
      <c r="T13" s="43">
        <f>MIN(H13,I13)-MIN(H13-M13,I13)</f>
        <v/>
      </c>
      <c r="U13" s="43">
        <f>MIN(H13,J13)-MIN(H13-M13,J13)</f>
        <v/>
      </c>
      <c r="V13" s="43">
        <f>T13*(Parameter!$C$10+Parameter!$C$11)+U13*((Parameter!$C$12+Parameter!$C$13)/2+Parameter!$C$58)</f>
        <v/>
      </c>
      <c r="W13" s="43">
        <f>T13*(Parameter!$C$10+Parameter!$C$11)+U13*((Parameter!$C$12+Parameter!$C$13)/2+Parameter!$C$15)</f>
        <v/>
      </c>
      <c r="X13" s="43">
        <f>MIN(H13,I13)*Parameter!$C$10+MIN(H13,J13)*(0.96*(Parameter!$C$12+Parameter!$C$13)/2+Parameter!$C$58)</f>
        <v/>
      </c>
      <c r="Y13" s="43">
        <f>MIN(H13-M13,I13)*Parameter!$C$10+MIN(H13-M13,J13)*(0.96*(Parameter!$C$12+Parameter!$C$13)/2+Parameter!$C$58)</f>
        <v/>
      </c>
      <c r="Z13" s="43">
        <f>MAX(0,H13-Parameter!$C$32*F13-Parameter!$C$33-X13)</f>
        <v/>
      </c>
      <c r="AA13" s="43">
        <f>MAX(0,H13-L13-Parameter!$C$32*F13-Parameter!$C$33-Y13)</f>
        <v/>
      </c>
      <c r="AB13" s="43">
        <f>MAX(0,(Z13+IF(Eingaben!$C$14=3,Eingaben!$C$15,0))/Parameter!$C$57/F13)</f>
        <v/>
      </c>
      <c r="AC13" s="43">
        <f>Parameter!$C$57*F13*(IF(AB13&lt;=Parameter!$C$18,0,IF(AB13&lt;=Parameter!$C$19,(Parameter!$C$22*(AB13-Parameter!$C$18)/10000+Parameter!$C$23)*(AB13-Parameter!$C$18)/10000,IF(AB13&lt;=Parameter!$C$20,(Parameter!$C$24*(AB13-Parameter!$C$19)/10000+Parameter!$C$25)*(AB13-Parameter!$C$19)/10000+Parameter!$C$26,IF(AB13&lt;=Parameter!$C$21,0.42*AB13-Parameter!$C$27,0.45*AB13-Parameter!$C$28)))))</f>
        <v/>
      </c>
      <c r="AD13" s="43">
        <f>AC13+IF(AC13&lt;=(Parameter!$C$30*Parameter!$C$57*F13),0,MIN(Parameter!$C$29*AC13,Parameter!$C$31*(AC13-(Parameter!$C$30*Parameter!$C$57*F13))))+Eingaben!$C$16*AC13</f>
        <v/>
      </c>
      <c r="AE13" s="43">
        <f>MAX(0,(AA13+IF(Eingaben!$C$14=3,Eingaben!$C$15,0))/Parameter!$C$57/F13)</f>
        <v/>
      </c>
      <c r="AF13" s="43">
        <f>Parameter!$C$57*F13*(IF(AE13&lt;=Parameter!$C$18,0,IF(AE13&lt;=Parameter!$C$19,(Parameter!$C$22*(AE13-Parameter!$C$18)/10000+Parameter!$C$23)*(AE13-Parameter!$C$18)/10000,IF(AE13&lt;=Parameter!$C$20,(Parameter!$C$24*(AE13-Parameter!$C$19)/10000+Parameter!$C$25)*(AE13-Parameter!$C$19)/10000+Parameter!$C$26,IF(AE13&lt;=Parameter!$C$21,0.42*AE13-Parameter!$C$27,0.45*AE13-Parameter!$C$28)))))</f>
        <v/>
      </c>
      <c r="AG13" s="43">
        <f>AF13+IF(AF13&lt;=(Parameter!$C$30*Parameter!$C$57*F13),0,MIN(Parameter!$C$29*AF13,Parameter!$C$31*(AF13-(Parameter!$C$30*Parameter!$C$57*F13))))+Eingaben!$C$16*AF13</f>
        <v/>
      </c>
      <c r="AH13" s="43">
        <f>AD13-AG13</f>
        <v/>
      </c>
      <c r="AI13" s="43">
        <f>MAX(0,K13-V13-AH13)</f>
        <v/>
      </c>
      <c r="AJ13" s="43">
        <f>MIN(AI13,Parameter!$C$49)</f>
        <v/>
      </c>
      <c r="AK13" s="43">
        <f>Parameter!$C$44*MIN(AJ13,Parameter!$C$45)+Parameter!$C$46*MAX(0,MIN(AJ13,Parameter!$C$47)-Parameter!$C$45)</f>
        <v/>
      </c>
      <c r="AL13" s="43">
        <f>MIN(AJ13,Parameter!$C$48)*Eingaben!$C$18*IF(5&lt;Eingaben!$C$19,1,0)</f>
        <v/>
      </c>
      <c r="AM13" s="43">
        <f>MIN(AK13+AL13,MAX(0,Parameter!$C$49-AJ13))</f>
        <v/>
      </c>
      <c r="AN13" s="43">
        <f>MIN(MIN(AJ13,Parameter!$C$47)+AM13,Parameter!$C$50)</f>
        <v/>
      </c>
      <c r="AO13" s="43">
        <f>MAX(0,Z13-AN13)</f>
        <v/>
      </c>
      <c r="AP13" s="43">
        <f>MAX(0,(AO13+IF(Eingaben!$C$14=3,Eingaben!$C$15,0))/Parameter!$C$57/F13)</f>
        <v/>
      </c>
      <c r="AQ13" s="43">
        <f>Parameter!$C$57*F13*(IF(AP13&lt;=Parameter!$C$18,0,IF(AP13&lt;=Parameter!$C$19,(Parameter!$C$22*(AP13-Parameter!$C$18)/10000+Parameter!$C$23)*(AP13-Parameter!$C$18)/10000,IF(AP13&lt;=Parameter!$C$20,(Parameter!$C$24*(AP13-Parameter!$C$19)/10000+Parameter!$C$25)*(AP13-Parameter!$C$19)/10000+Parameter!$C$26,IF(AP13&lt;=Parameter!$C$21,0.42*AP13-Parameter!$C$27,0.45*AP13-Parameter!$C$28)))))</f>
        <v/>
      </c>
      <c r="AR13" s="43">
        <f>AQ13+IF(AQ13&lt;=(Parameter!$C$30*Parameter!$C$57*F13),0,MIN(Parameter!$C$29*AQ13,Parameter!$C$31*(AQ13-(Parameter!$C$30*Parameter!$C$57*F13))))+Eingaben!$C$16*AQ13</f>
        <v/>
      </c>
      <c r="AS13" s="43">
        <f>AD13-AR13</f>
        <v/>
      </c>
      <c r="AT13" s="43">
        <f>MAX(0,AS13-AM13)</f>
        <v/>
      </c>
      <c r="AU13" s="43">
        <f>MIN(AJ13,Parameter!$C$47)+AM13</f>
        <v/>
      </c>
      <c r="AV13" s="43">
        <f>MAX(0,AJ13-Parameter!$C$47)+AT12</f>
        <v/>
      </c>
      <c r="AW13" s="43">
        <f>MAX(0,AI13-Parameter!$C$49)</f>
        <v/>
      </c>
      <c r="AX13" s="43">
        <f>AI13</f>
        <v/>
      </c>
      <c r="AY13" s="43">
        <f>IF(D13=0,AY12,AY12*(1+Parameter!$C$60)+R13*(1+Parameter!$C$60)^0.5)</f>
        <v/>
      </c>
      <c r="AZ13" s="43">
        <f>IF(D13=0,AZ12,AZ12*(1+Parameter!$C$60)+S13*(1+Parameter!$C$60)^0.5)</f>
        <v/>
      </c>
      <c r="BA13" s="43">
        <f>IF(D13=0,BA12,BA12*(1+Parameter!$C$61)+AU13*(1+Parameter!$C$61)^0.5)</f>
        <v/>
      </c>
      <c r="BB13" s="43">
        <f>IF(D13=0,BB12,BB12*(1+Parameter!$C$61)+AV13*(1+Parameter!$C$61)^0.5)</f>
        <v/>
      </c>
      <c r="BC13" s="43">
        <f>IF(D13=0,BC12,BC12*(1+Parameter!$C$62)+AW13*(1+Parameter!$C$62)^0.5-BF13)</f>
        <v/>
      </c>
      <c r="BD13" s="43">
        <f>IF(D13=0,BD12,BD12+AW13+BE13)</f>
        <v/>
      </c>
      <c r="BE13" s="43">
        <f>MAX(0,MIN(BC12*(1+Parameter!$C$62)+AW13*(1+Parameter!$C$62)^0.5-BC12-AW13,BC12*Parameter!$C$39*Parameter!$C$40))</f>
        <v/>
      </c>
      <c r="BF13" s="43">
        <f>MAX(0,BE13*(1-Parameter!$C$37)-Parameter!$C$67)*Parameter!$C$36</f>
        <v/>
      </c>
      <c r="BG13" s="43">
        <f>IF(D13=0,BG12,BG12*(1+Parameter!$C$62)+AX13*(1+Parameter!$C$62)^0.5-BJ13)</f>
        <v/>
      </c>
      <c r="BH13" s="43">
        <f>IF(D13=0,BH12,BH12+AX13+BI13)</f>
        <v/>
      </c>
      <c r="BI13" s="43">
        <f>MAX(0,MIN(BG12*(1+Parameter!$C$62)+AX13*(1+Parameter!$C$62)^0.5-BG12-AX13,BG12*Parameter!$C$39*Parameter!$C$40))</f>
        <v/>
      </c>
      <c r="BJ13" s="43">
        <f>MAX(0,BI13*(1-Parameter!$C$37)-Parameter!$C$67)*Parameter!$C$36</f>
        <v/>
      </c>
      <c r="BK13" s="41">
        <f>T13/(Parameter!$C$8*E13)</f>
        <v/>
      </c>
      <c r="BL13" s="41">
        <f>BL12+BK13</f>
        <v/>
      </c>
    </row>
    <row r="14">
      <c r="A14" s="30">
        <f>2026+6</f>
        <v/>
      </c>
      <c r="B14" s="30">
        <f>Eingaben!$C$5+6</f>
        <v/>
      </c>
      <c r="C14" s="30">
        <f>IF(AND(B14&lt;Eingaben!$C$8,B14&lt;Eingaben!$C$6),1,0)</f>
        <v/>
      </c>
      <c r="D14" s="30">
        <f>IF(B14&lt;Eingaben!$C$6,1,0)</f>
        <v/>
      </c>
      <c r="E14" s="38">
        <f>(1+Eingaben!$C$13)^6</f>
        <v/>
      </c>
      <c r="F14" s="38">
        <f>(1+Eingaben!$C$17)^6</f>
        <v/>
      </c>
      <c r="G14" s="39">
        <f>IF(B14&gt;=Eingaben!$C$9,Eingaben!$C$10,1)</f>
        <v/>
      </c>
      <c r="H14" s="40">
        <f>Eingaben!$C$12*E14*G14*C14</f>
        <v/>
      </c>
      <c r="I14" s="40">
        <f>Parameter!$C$4*E14</f>
        <v/>
      </c>
      <c r="J14" s="40">
        <f>Parameter!$C$5*E14</f>
        <v/>
      </c>
      <c r="K14" s="40">
        <f>MIN(H14,12*(IF(Eingaben!$C$22=2,Umrechnung!$C$54,Eingaben!$C$23))*IF(Eingaben!$C$25=1,E14,1))*C14</f>
        <v/>
      </c>
      <c r="L14" s="40">
        <f>MIN(K14,MAX(0,Parameter!$C$42*I14-P14))</f>
        <v/>
      </c>
      <c r="M14" s="40">
        <f>MIN(K14,MAX(0,Parameter!$C$43*I14-N14))</f>
        <v/>
      </c>
      <c r="N14" s="40">
        <f>C14*IF(K14/12+0.000000001&lt;Eingaben!$C$29,0,12*Eingaben!$C$27*IF(Eingaben!$C$28=1,E14,1))</f>
        <v/>
      </c>
      <c r="O14" s="40">
        <f>IF(Eingaben!$C$30=2,MIN(Eingaben!$C$26*K14,W14),Eingaben!$C$26*IF(Eingaben!$C$30=1,M14,K14))</f>
        <v/>
      </c>
      <c r="P14" s="40">
        <f>O14+N14</f>
        <v/>
      </c>
      <c r="Q14" s="40">
        <f>K14+P14</f>
        <v/>
      </c>
      <c r="R14" s="40">
        <f>MIN(Q14,Parameter!$C$42*I14)</f>
        <v/>
      </c>
      <c r="S14" s="40">
        <f>Q14-R14</f>
        <v/>
      </c>
      <c r="T14" s="40">
        <f>MIN(H14,I14)-MIN(H14-M14,I14)</f>
        <v/>
      </c>
      <c r="U14" s="40">
        <f>MIN(H14,J14)-MIN(H14-M14,J14)</f>
        <v/>
      </c>
      <c r="V14" s="40">
        <f>T14*(Parameter!$C$10+Parameter!$C$11)+U14*((Parameter!$C$12+Parameter!$C$13)/2+Parameter!$C$58)</f>
        <v/>
      </c>
      <c r="W14" s="40">
        <f>T14*(Parameter!$C$10+Parameter!$C$11)+U14*((Parameter!$C$12+Parameter!$C$13)/2+Parameter!$C$15)</f>
        <v/>
      </c>
      <c r="X14" s="40">
        <f>MIN(H14,I14)*Parameter!$C$10+MIN(H14,J14)*(0.96*(Parameter!$C$12+Parameter!$C$13)/2+Parameter!$C$58)</f>
        <v/>
      </c>
      <c r="Y14" s="40">
        <f>MIN(H14-M14,I14)*Parameter!$C$10+MIN(H14-M14,J14)*(0.96*(Parameter!$C$12+Parameter!$C$13)/2+Parameter!$C$58)</f>
        <v/>
      </c>
      <c r="Z14" s="40">
        <f>MAX(0,H14-Parameter!$C$32*F14-Parameter!$C$33-X14)</f>
        <v/>
      </c>
      <c r="AA14" s="40">
        <f>MAX(0,H14-L14-Parameter!$C$32*F14-Parameter!$C$33-Y14)</f>
        <v/>
      </c>
      <c r="AB14" s="40">
        <f>MAX(0,(Z14+IF(Eingaben!$C$14=3,Eingaben!$C$15,0))/Parameter!$C$57/F14)</f>
        <v/>
      </c>
      <c r="AC14" s="40">
        <f>Parameter!$C$57*F14*(IF(AB14&lt;=Parameter!$C$18,0,IF(AB14&lt;=Parameter!$C$19,(Parameter!$C$22*(AB14-Parameter!$C$18)/10000+Parameter!$C$23)*(AB14-Parameter!$C$18)/10000,IF(AB14&lt;=Parameter!$C$20,(Parameter!$C$24*(AB14-Parameter!$C$19)/10000+Parameter!$C$25)*(AB14-Parameter!$C$19)/10000+Parameter!$C$26,IF(AB14&lt;=Parameter!$C$21,0.42*AB14-Parameter!$C$27,0.45*AB14-Parameter!$C$28)))))</f>
        <v/>
      </c>
      <c r="AD14" s="40">
        <f>AC14+IF(AC14&lt;=(Parameter!$C$30*Parameter!$C$57*F14),0,MIN(Parameter!$C$29*AC14,Parameter!$C$31*(AC14-(Parameter!$C$30*Parameter!$C$57*F14))))+Eingaben!$C$16*AC14</f>
        <v/>
      </c>
      <c r="AE14" s="40">
        <f>MAX(0,(AA14+IF(Eingaben!$C$14=3,Eingaben!$C$15,0))/Parameter!$C$57/F14)</f>
        <v/>
      </c>
      <c r="AF14" s="40">
        <f>Parameter!$C$57*F14*(IF(AE14&lt;=Parameter!$C$18,0,IF(AE14&lt;=Parameter!$C$19,(Parameter!$C$22*(AE14-Parameter!$C$18)/10000+Parameter!$C$23)*(AE14-Parameter!$C$18)/10000,IF(AE14&lt;=Parameter!$C$20,(Parameter!$C$24*(AE14-Parameter!$C$19)/10000+Parameter!$C$25)*(AE14-Parameter!$C$19)/10000+Parameter!$C$26,IF(AE14&lt;=Parameter!$C$21,0.42*AE14-Parameter!$C$27,0.45*AE14-Parameter!$C$28)))))</f>
        <v/>
      </c>
      <c r="AG14" s="40">
        <f>AF14+IF(AF14&lt;=(Parameter!$C$30*Parameter!$C$57*F14),0,MIN(Parameter!$C$29*AF14,Parameter!$C$31*(AF14-(Parameter!$C$30*Parameter!$C$57*F14))))+Eingaben!$C$16*AF14</f>
        <v/>
      </c>
      <c r="AH14" s="40">
        <f>AD14-AG14</f>
        <v/>
      </c>
      <c r="AI14" s="40">
        <f>MAX(0,K14-V14-AH14)</f>
        <v/>
      </c>
      <c r="AJ14" s="40">
        <f>MIN(AI14,Parameter!$C$49)</f>
        <v/>
      </c>
      <c r="AK14" s="40">
        <f>Parameter!$C$44*MIN(AJ14,Parameter!$C$45)+Parameter!$C$46*MAX(0,MIN(AJ14,Parameter!$C$47)-Parameter!$C$45)</f>
        <v/>
      </c>
      <c r="AL14" s="40">
        <f>MIN(AJ14,Parameter!$C$48)*Eingaben!$C$18*IF(6&lt;Eingaben!$C$19,1,0)</f>
        <v/>
      </c>
      <c r="AM14" s="40">
        <f>MIN(AK14+AL14,MAX(0,Parameter!$C$49-AJ14))</f>
        <v/>
      </c>
      <c r="AN14" s="40">
        <f>MIN(MIN(AJ14,Parameter!$C$47)+AM14,Parameter!$C$50)</f>
        <v/>
      </c>
      <c r="AO14" s="40">
        <f>MAX(0,Z14-AN14)</f>
        <v/>
      </c>
      <c r="AP14" s="40">
        <f>MAX(0,(AO14+IF(Eingaben!$C$14=3,Eingaben!$C$15,0))/Parameter!$C$57/F14)</f>
        <v/>
      </c>
      <c r="AQ14" s="40">
        <f>Parameter!$C$57*F14*(IF(AP14&lt;=Parameter!$C$18,0,IF(AP14&lt;=Parameter!$C$19,(Parameter!$C$22*(AP14-Parameter!$C$18)/10000+Parameter!$C$23)*(AP14-Parameter!$C$18)/10000,IF(AP14&lt;=Parameter!$C$20,(Parameter!$C$24*(AP14-Parameter!$C$19)/10000+Parameter!$C$25)*(AP14-Parameter!$C$19)/10000+Parameter!$C$26,IF(AP14&lt;=Parameter!$C$21,0.42*AP14-Parameter!$C$27,0.45*AP14-Parameter!$C$28)))))</f>
        <v/>
      </c>
      <c r="AR14" s="40">
        <f>AQ14+IF(AQ14&lt;=(Parameter!$C$30*Parameter!$C$57*F14),0,MIN(Parameter!$C$29*AQ14,Parameter!$C$31*(AQ14-(Parameter!$C$30*Parameter!$C$57*F14))))+Eingaben!$C$16*AQ14</f>
        <v/>
      </c>
      <c r="AS14" s="40">
        <f>AD14-AR14</f>
        <v/>
      </c>
      <c r="AT14" s="40">
        <f>MAX(0,AS14-AM14)</f>
        <v/>
      </c>
      <c r="AU14" s="40">
        <f>MIN(AJ14,Parameter!$C$47)+AM14</f>
        <v/>
      </c>
      <c r="AV14" s="40">
        <f>MAX(0,AJ14-Parameter!$C$47)+AT13</f>
        <v/>
      </c>
      <c r="AW14" s="40">
        <f>MAX(0,AI14-Parameter!$C$49)</f>
        <v/>
      </c>
      <c r="AX14" s="40">
        <f>AI14</f>
        <v/>
      </c>
      <c r="AY14" s="40">
        <f>IF(D14=0,AY13,AY13*(1+Parameter!$C$60)+R14*(1+Parameter!$C$60)^0.5)</f>
        <v/>
      </c>
      <c r="AZ14" s="40">
        <f>IF(D14=0,AZ13,AZ13*(1+Parameter!$C$60)+S14*(1+Parameter!$C$60)^0.5)</f>
        <v/>
      </c>
      <c r="BA14" s="40">
        <f>IF(D14=0,BA13,BA13*(1+Parameter!$C$61)+AU14*(1+Parameter!$C$61)^0.5)</f>
        <v/>
      </c>
      <c r="BB14" s="40">
        <f>IF(D14=0,BB13,BB13*(1+Parameter!$C$61)+AV14*(1+Parameter!$C$61)^0.5)</f>
        <v/>
      </c>
      <c r="BC14" s="40">
        <f>IF(D14=0,BC13,BC13*(1+Parameter!$C$62)+AW14*(1+Parameter!$C$62)^0.5-BF14)</f>
        <v/>
      </c>
      <c r="BD14" s="40">
        <f>IF(D14=0,BD13,BD13+AW14+BE14)</f>
        <v/>
      </c>
      <c r="BE14" s="40">
        <f>MAX(0,MIN(BC13*(1+Parameter!$C$62)+AW14*(1+Parameter!$C$62)^0.5-BC13-AW14,BC13*Parameter!$C$39*Parameter!$C$40))</f>
        <v/>
      </c>
      <c r="BF14" s="40">
        <f>MAX(0,BE14*(1-Parameter!$C$37)-Parameter!$C$67)*Parameter!$C$36</f>
        <v/>
      </c>
      <c r="BG14" s="40">
        <f>IF(D14=0,BG13,BG13*(1+Parameter!$C$62)+AX14*(1+Parameter!$C$62)^0.5-BJ14)</f>
        <v/>
      </c>
      <c r="BH14" s="40">
        <f>IF(D14=0,BH13,BH13+AX14+BI14)</f>
        <v/>
      </c>
      <c r="BI14" s="40">
        <f>MAX(0,MIN(BG13*(1+Parameter!$C$62)+AX14*(1+Parameter!$C$62)^0.5-BG13-AX14,BG13*Parameter!$C$39*Parameter!$C$40))</f>
        <v/>
      </c>
      <c r="BJ14" s="40">
        <f>MAX(0,BI14*(1-Parameter!$C$37)-Parameter!$C$67)*Parameter!$C$36</f>
        <v/>
      </c>
      <c r="BK14" s="38">
        <f>T14/(Parameter!$C$8*E14)</f>
        <v/>
      </c>
      <c r="BL14" s="38">
        <f>BL13+BK14</f>
        <v/>
      </c>
    </row>
    <row r="15">
      <c r="A15" s="32">
        <f>2026+7</f>
        <v/>
      </c>
      <c r="B15" s="32">
        <f>Eingaben!$C$5+7</f>
        <v/>
      </c>
      <c r="C15" s="32">
        <f>IF(AND(B15&lt;Eingaben!$C$8,B15&lt;Eingaben!$C$6),1,0)</f>
        <v/>
      </c>
      <c r="D15" s="32">
        <f>IF(B15&lt;Eingaben!$C$6,1,0)</f>
        <v/>
      </c>
      <c r="E15" s="41">
        <f>(1+Eingaben!$C$13)^7</f>
        <v/>
      </c>
      <c r="F15" s="41">
        <f>(1+Eingaben!$C$17)^7</f>
        <v/>
      </c>
      <c r="G15" s="42">
        <f>IF(B15&gt;=Eingaben!$C$9,Eingaben!$C$10,1)</f>
        <v/>
      </c>
      <c r="H15" s="43">
        <f>Eingaben!$C$12*E15*G15*C15</f>
        <v/>
      </c>
      <c r="I15" s="43">
        <f>Parameter!$C$4*E15</f>
        <v/>
      </c>
      <c r="J15" s="43">
        <f>Parameter!$C$5*E15</f>
        <v/>
      </c>
      <c r="K15" s="43">
        <f>MIN(H15,12*(IF(Eingaben!$C$22=2,Umrechnung!$C$54,Eingaben!$C$23))*IF(Eingaben!$C$25=1,E15,1))*C15</f>
        <v/>
      </c>
      <c r="L15" s="43">
        <f>MIN(K15,MAX(0,Parameter!$C$42*I15-P15))</f>
        <v/>
      </c>
      <c r="M15" s="43">
        <f>MIN(K15,MAX(0,Parameter!$C$43*I15-N15))</f>
        <v/>
      </c>
      <c r="N15" s="43">
        <f>C15*IF(K15/12+0.000000001&lt;Eingaben!$C$29,0,12*Eingaben!$C$27*IF(Eingaben!$C$28=1,E15,1))</f>
        <v/>
      </c>
      <c r="O15" s="43">
        <f>IF(Eingaben!$C$30=2,MIN(Eingaben!$C$26*K15,W15),Eingaben!$C$26*IF(Eingaben!$C$30=1,M15,K15))</f>
        <v/>
      </c>
      <c r="P15" s="43">
        <f>O15+N15</f>
        <v/>
      </c>
      <c r="Q15" s="43">
        <f>K15+P15</f>
        <v/>
      </c>
      <c r="R15" s="43">
        <f>MIN(Q15,Parameter!$C$42*I15)</f>
        <v/>
      </c>
      <c r="S15" s="43">
        <f>Q15-R15</f>
        <v/>
      </c>
      <c r="T15" s="43">
        <f>MIN(H15,I15)-MIN(H15-M15,I15)</f>
        <v/>
      </c>
      <c r="U15" s="43">
        <f>MIN(H15,J15)-MIN(H15-M15,J15)</f>
        <v/>
      </c>
      <c r="V15" s="43">
        <f>T15*(Parameter!$C$10+Parameter!$C$11)+U15*((Parameter!$C$12+Parameter!$C$13)/2+Parameter!$C$58)</f>
        <v/>
      </c>
      <c r="W15" s="43">
        <f>T15*(Parameter!$C$10+Parameter!$C$11)+U15*((Parameter!$C$12+Parameter!$C$13)/2+Parameter!$C$15)</f>
        <v/>
      </c>
      <c r="X15" s="43">
        <f>MIN(H15,I15)*Parameter!$C$10+MIN(H15,J15)*(0.96*(Parameter!$C$12+Parameter!$C$13)/2+Parameter!$C$58)</f>
        <v/>
      </c>
      <c r="Y15" s="43">
        <f>MIN(H15-M15,I15)*Parameter!$C$10+MIN(H15-M15,J15)*(0.96*(Parameter!$C$12+Parameter!$C$13)/2+Parameter!$C$58)</f>
        <v/>
      </c>
      <c r="Z15" s="43">
        <f>MAX(0,H15-Parameter!$C$32*F15-Parameter!$C$33-X15)</f>
        <v/>
      </c>
      <c r="AA15" s="43">
        <f>MAX(0,H15-L15-Parameter!$C$32*F15-Parameter!$C$33-Y15)</f>
        <v/>
      </c>
      <c r="AB15" s="43">
        <f>MAX(0,(Z15+IF(Eingaben!$C$14=3,Eingaben!$C$15,0))/Parameter!$C$57/F15)</f>
        <v/>
      </c>
      <c r="AC15" s="43">
        <f>Parameter!$C$57*F15*(IF(AB15&lt;=Parameter!$C$18,0,IF(AB15&lt;=Parameter!$C$19,(Parameter!$C$22*(AB15-Parameter!$C$18)/10000+Parameter!$C$23)*(AB15-Parameter!$C$18)/10000,IF(AB15&lt;=Parameter!$C$20,(Parameter!$C$24*(AB15-Parameter!$C$19)/10000+Parameter!$C$25)*(AB15-Parameter!$C$19)/10000+Parameter!$C$26,IF(AB15&lt;=Parameter!$C$21,0.42*AB15-Parameter!$C$27,0.45*AB15-Parameter!$C$28)))))</f>
        <v/>
      </c>
      <c r="AD15" s="43">
        <f>AC15+IF(AC15&lt;=(Parameter!$C$30*Parameter!$C$57*F15),0,MIN(Parameter!$C$29*AC15,Parameter!$C$31*(AC15-(Parameter!$C$30*Parameter!$C$57*F15))))+Eingaben!$C$16*AC15</f>
        <v/>
      </c>
      <c r="AE15" s="43">
        <f>MAX(0,(AA15+IF(Eingaben!$C$14=3,Eingaben!$C$15,0))/Parameter!$C$57/F15)</f>
        <v/>
      </c>
      <c r="AF15" s="43">
        <f>Parameter!$C$57*F15*(IF(AE15&lt;=Parameter!$C$18,0,IF(AE15&lt;=Parameter!$C$19,(Parameter!$C$22*(AE15-Parameter!$C$18)/10000+Parameter!$C$23)*(AE15-Parameter!$C$18)/10000,IF(AE15&lt;=Parameter!$C$20,(Parameter!$C$24*(AE15-Parameter!$C$19)/10000+Parameter!$C$25)*(AE15-Parameter!$C$19)/10000+Parameter!$C$26,IF(AE15&lt;=Parameter!$C$21,0.42*AE15-Parameter!$C$27,0.45*AE15-Parameter!$C$28)))))</f>
        <v/>
      </c>
      <c r="AG15" s="43">
        <f>AF15+IF(AF15&lt;=(Parameter!$C$30*Parameter!$C$57*F15),0,MIN(Parameter!$C$29*AF15,Parameter!$C$31*(AF15-(Parameter!$C$30*Parameter!$C$57*F15))))+Eingaben!$C$16*AF15</f>
        <v/>
      </c>
      <c r="AH15" s="43">
        <f>AD15-AG15</f>
        <v/>
      </c>
      <c r="AI15" s="43">
        <f>MAX(0,K15-V15-AH15)</f>
        <v/>
      </c>
      <c r="AJ15" s="43">
        <f>MIN(AI15,Parameter!$C$49)</f>
        <v/>
      </c>
      <c r="AK15" s="43">
        <f>Parameter!$C$44*MIN(AJ15,Parameter!$C$45)+Parameter!$C$46*MAX(0,MIN(AJ15,Parameter!$C$47)-Parameter!$C$45)</f>
        <v/>
      </c>
      <c r="AL15" s="43">
        <f>MIN(AJ15,Parameter!$C$48)*Eingaben!$C$18*IF(7&lt;Eingaben!$C$19,1,0)</f>
        <v/>
      </c>
      <c r="AM15" s="43">
        <f>MIN(AK15+AL15,MAX(0,Parameter!$C$49-AJ15))</f>
        <v/>
      </c>
      <c r="AN15" s="43">
        <f>MIN(MIN(AJ15,Parameter!$C$47)+AM15,Parameter!$C$50)</f>
        <v/>
      </c>
      <c r="AO15" s="43">
        <f>MAX(0,Z15-AN15)</f>
        <v/>
      </c>
      <c r="AP15" s="43">
        <f>MAX(0,(AO15+IF(Eingaben!$C$14=3,Eingaben!$C$15,0))/Parameter!$C$57/F15)</f>
        <v/>
      </c>
      <c r="AQ15" s="43">
        <f>Parameter!$C$57*F15*(IF(AP15&lt;=Parameter!$C$18,0,IF(AP15&lt;=Parameter!$C$19,(Parameter!$C$22*(AP15-Parameter!$C$18)/10000+Parameter!$C$23)*(AP15-Parameter!$C$18)/10000,IF(AP15&lt;=Parameter!$C$20,(Parameter!$C$24*(AP15-Parameter!$C$19)/10000+Parameter!$C$25)*(AP15-Parameter!$C$19)/10000+Parameter!$C$26,IF(AP15&lt;=Parameter!$C$21,0.42*AP15-Parameter!$C$27,0.45*AP15-Parameter!$C$28)))))</f>
        <v/>
      </c>
      <c r="AR15" s="43">
        <f>AQ15+IF(AQ15&lt;=(Parameter!$C$30*Parameter!$C$57*F15),0,MIN(Parameter!$C$29*AQ15,Parameter!$C$31*(AQ15-(Parameter!$C$30*Parameter!$C$57*F15))))+Eingaben!$C$16*AQ15</f>
        <v/>
      </c>
      <c r="AS15" s="43">
        <f>AD15-AR15</f>
        <v/>
      </c>
      <c r="AT15" s="43">
        <f>MAX(0,AS15-AM15)</f>
        <v/>
      </c>
      <c r="AU15" s="43">
        <f>MIN(AJ15,Parameter!$C$47)+AM15</f>
        <v/>
      </c>
      <c r="AV15" s="43">
        <f>MAX(0,AJ15-Parameter!$C$47)+AT14</f>
        <v/>
      </c>
      <c r="AW15" s="43">
        <f>MAX(0,AI15-Parameter!$C$49)</f>
        <v/>
      </c>
      <c r="AX15" s="43">
        <f>AI15</f>
        <v/>
      </c>
      <c r="AY15" s="43">
        <f>IF(D15=0,AY14,AY14*(1+Parameter!$C$60)+R15*(1+Parameter!$C$60)^0.5)</f>
        <v/>
      </c>
      <c r="AZ15" s="43">
        <f>IF(D15=0,AZ14,AZ14*(1+Parameter!$C$60)+S15*(1+Parameter!$C$60)^0.5)</f>
        <v/>
      </c>
      <c r="BA15" s="43">
        <f>IF(D15=0,BA14,BA14*(1+Parameter!$C$61)+AU15*(1+Parameter!$C$61)^0.5)</f>
        <v/>
      </c>
      <c r="BB15" s="43">
        <f>IF(D15=0,BB14,BB14*(1+Parameter!$C$61)+AV15*(1+Parameter!$C$61)^0.5)</f>
        <v/>
      </c>
      <c r="BC15" s="43">
        <f>IF(D15=0,BC14,BC14*(1+Parameter!$C$62)+AW15*(1+Parameter!$C$62)^0.5-BF15)</f>
        <v/>
      </c>
      <c r="BD15" s="43">
        <f>IF(D15=0,BD14,BD14+AW15+BE15)</f>
        <v/>
      </c>
      <c r="BE15" s="43">
        <f>MAX(0,MIN(BC14*(1+Parameter!$C$62)+AW15*(1+Parameter!$C$62)^0.5-BC14-AW15,BC14*Parameter!$C$39*Parameter!$C$40))</f>
        <v/>
      </c>
      <c r="BF15" s="43">
        <f>MAX(0,BE15*(1-Parameter!$C$37)-Parameter!$C$67)*Parameter!$C$36</f>
        <v/>
      </c>
      <c r="BG15" s="43">
        <f>IF(D15=0,BG14,BG14*(1+Parameter!$C$62)+AX15*(1+Parameter!$C$62)^0.5-BJ15)</f>
        <v/>
      </c>
      <c r="BH15" s="43">
        <f>IF(D15=0,BH14,BH14+AX15+BI15)</f>
        <v/>
      </c>
      <c r="BI15" s="43">
        <f>MAX(0,MIN(BG14*(1+Parameter!$C$62)+AX15*(1+Parameter!$C$62)^0.5-BG14-AX15,BG14*Parameter!$C$39*Parameter!$C$40))</f>
        <v/>
      </c>
      <c r="BJ15" s="43">
        <f>MAX(0,BI15*(1-Parameter!$C$37)-Parameter!$C$67)*Parameter!$C$36</f>
        <v/>
      </c>
      <c r="BK15" s="41">
        <f>T15/(Parameter!$C$8*E15)</f>
        <v/>
      </c>
      <c r="BL15" s="41">
        <f>BL14+BK15</f>
        <v/>
      </c>
    </row>
    <row r="16">
      <c r="A16" s="30">
        <f>2026+8</f>
        <v/>
      </c>
      <c r="B16" s="30">
        <f>Eingaben!$C$5+8</f>
        <v/>
      </c>
      <c r="C16" s="30">
        <f>IF(AND(B16&lt;Eingaben!$C$8,B16&lt;Eingaben!$C$6),1,0)</f>
        <v/>
      </c>
      <c r="D16" s="30">
        <f>IF(B16&lt;Eingaben!$C$6,1,0)</f>
        <v/>
      </c>
      <c r="E16" s="38">
        <f>(1+Eingaben!$C$13)^8</f>
        <v/>
      </c>
      <c r="F16" s="38">
        <f>(1+Eingaben!$C$17)^8</f>
        <v/>
      </c>
      <c r="G16" s="39">
        <f>IF(B16&gt;=Eingaben!$C$9,Eingaben!$C$10,1)</f>
        <v/>
      </c>
      <c r="H16" s="40">
        <f>Eingaben!$C$12*E16*G16*C16</f>
        <v/>
      </c>
      <c r="I16" s="40">
        <f>Parameter!$C$4*E16</f>
        <v/>
      </c>
      <c r="J16" s="40">
        <f>Parameter!$C$5*E16</f>
        <v/>
      </c>
      <c r="K16" s="40">
        <f>MIN(H16,12*(IF(Eingaben!$C$22=2,Umrechnung!$C$54,Eingaben!$C$23))*IF(Eingaben!$C$25=1,E16,1))*C16</f>
        <v/>
      </c>
      <c r="L16" s="40">
        <f>MIN(K16,MAX(0,Parameter!$C$42*I16-P16))</f>
        <v/>
      </c>
      <c r="M16" s="40">
        <f>MIN(K16,MAX(0,Parameter!$C$43*I16-N16))</f>
        <v/>
      </c>
      <c r="N16" s="40">
        <f>C16*IF(K16/12+0.000000001&lt;Eingaben!$C$29,0,12*Eingaben!$C$27*IF(Eingaben!$C$28=1,E16,1))</f>
        <v/>
      </c>
      <c r="O16" s="40">
        <f>IF(Eingaben!$C$30=2,MIN(Eingaben!$C$26*K16,W16),Eingaben!$C$26*IF(Eingaben!$C$30=1,M16,K16))</f>
        <v/>
      </c>
      <c r="P16" s="40">
        <f>O16+N16</f>
        <v/>
      </c>
      <c r="Q16" s="40">
        <f>K16+P16</f>
        <v/>
      </c>
      <c r="R16" s="40">
        <f>MIN(Q16,Parameter!$C$42*I16)</f>
        <v/>
      </c>
      <c r="S16" s="40">
        <f>Q16-R16</f>
        <v/>
      </c>
      <c r="T16" s="40">
        <f>MIN(H16,I16)-MIN(H16-M16,I16)</f>
        <v/>
      </c>
      <c r="U16" s="40">
        <f>MIN(H16,J16)-MIN(H16-M16,J16)</f>
        <v/>
      </c>
      <c r="V16" s="40">
        <f>T16*(Parameter!$C$10+Parameter!$C$11)+U16*((Parameter!$C$12+Parameter!$C$13)/2+Parameter!$C$58)</f>
        <v/>
      </c>
      <c r="W16" s="40">
        <f>T16*(Parameter!$C$10+Parameter!$C$11)+U16*((Parameter!$C$12+Parameter!$C$13)/2+Parameter!$C$15)</f>
        <v/>
      </c>
      <c r="X16" s="40">
        <f>MIN(H16,I16)*Parameter!$C$10+MIN(H16,J16)*(0.96*(Parameter!$C$12+Parameter!$C$13)/2+Parameter!$C$58)</f>
        <v/>
      </c>
      <c r="Y16" s="40">
        <f>MIN(H16-M16,I16)*Parameter!$C$10+MIN(H16-M16,J16)*(0.96*(Parameter!$C$12+Parameter!$C$13)/2+Parameter!$C$58)</f>
        <v/>
      </c>
      <c r="Z16" s="40">
        <f>MAX(0,H16-Parameter!$C$32*F16-Parameter!$C$33-X16)</f>
        <v/>
      </c>
      <c r="AA16" s="40">
        <f>MAX(0,H16-L16-Parameter!$C$32*F16-Parameter!$C$33-Y16)</f>
        <v/>
      </c>
      <c r="AB16" s="40">
        <f>MAX(0,(Z16+IF(Eingaben!$C$14=3,Eingaben!$C$15,0))/Parameter!$C$57/F16)</f>
        <v/>
      </c>
      <c r="AC16" s="40">
        <f>Parameter!$C$57*F16*(IF(AB16&lt;=Parameter!$C$18,0,IF(AB16&lt;=Parameter!$C$19,(Parameter!$C$22*(AB16-Parameter!$C$18)/10000+Parameter!$C$23)*(AB16-Parameter!$C$18)/10000,IF(AB16&lt;=Parameter!$C$20,(Parameter!$C$24*(AB16-Parameter!$C$19)/10000+Parameter!$C$25)*(AB16-Parameter!$C$19)/10000+Parameter!$C$26,IF(AB16&lt;=Parameter!$C$21,0.42*AB16-Parameter!$C$27,0.45*AB16-Parameter!$C$28)))))</f>
        <v/>
      </c>
      <c r="AD16" s="40">
        <f>AC16+IF(AC16&lt;=(Parameter!$C$30*Parameter!$C$57*F16),0,MIN(Parameter!$C$29*AC16,Parameter!$C$31*(AC16-(Parameter!$C$30*Parameter!$C$57*F16))))+Eingaben!$C$16*AC16</f>
        <v/>
      </c>
      <c r="AE16" s="40">
        <f>MAX(0,(AA16+IF(Eingaben!$C$14=3,Eingaben!$C$15,0))/Parameter!$C$57/F16)</f>
        <v/>
      </c>
      <c r="AF16" s="40">
        <f>Parameter!$C$57*F16*(IF(AE16&lt;=Parameter!$C$18,0,IF(AE16&lt;=Parameter!$C$19,(Parameter!$C$22*(AE16-Parameter!$C$18)/10000+Parameter!$C$23)*(AE16-Parameter!$C$18)/10000,IF(AE16&lt;=Parameter!$C$20,(Parameter!$C$24*(AE16-Parameter!$C$19)/10000+Parameter!$C$25)*(AE16-Parameter!$C$19)/10000+Parameter!$C$26,IF(AE16&lt;=Parameter!$C$21,0.42*AE16-Parameter!$C$27,0.45*AE16-Parameter!$C$28)))))</f>
        <v/>
      </c>
      <c r="AG16" s="40">
        <f>AF16+IF(AF16&lt;=(Parameter!$C$30*Parameter!$C$57*F16),0,MIN(Parameter!$C$29*AF16,Parameter!$C$31*(AF16-(Parameter!$C$30*Parameter!$C$57*F16))))+Eingaben!$C$16*AF16</f>
        <v/>
      </c>
      <c r="AH16" s="40">
        <f>AD16-AG16</f>
        <v/>
      </c>
      <c r="AI16" s="40">
        <f>MAX(0,K16-V16-AH16)</f>
        <v/>
      </c>
      <c r="AJ16" s="40">
        <f>MIN(AI16,Parameter!$C$49)</f>
        <v/>
      </c>
      <c r="AK16" s="40">
        <f>Parameter!$C$44*MIN(AJ16,Parameter!$C$45)+Parameter!$C$46*MAX(0,MIN(AJ16,Parameter!$C$47)-Parameter!$C$45)</f>
        <v/>
      </c>
      <c r="AL16" s="40">
        <f>MIN(AJ16,Parameter!$C$48)*Eingaben!$C$18*IF(8&lt;Eingaben!$C$19,1,0)</f>
        <v/>
      </c>
      <c r="AM16" s="40">
        <f>MIN(AK16+AL16,MAX(0,Parameter!$C$49-AJ16))</f>
        <v/>
      </c>
      <c r="AN16" s="40">
        <f>MIN(MIN(AJ16,Parameter!$C$47)+AM16,Parameter!$C$50)</f>
        <v/>
      </c>
      <c r="AO16" s="40">
        <f>MAX(0,Z16-AN16)</f>
        <v/>
      </c>
      <c r="AP16" s="40">
        <f>MAX(0,(AO16+IF(Eingaben!$C$14=3,Eingaben!$C$15,0))/Parameter!$C$57/F16)</f>
        <v/>
      </c>
      <c r="AQ16" s="40">
        <f>Parameter!$C$57*F16*(IF(AP16&lt;=Parameter!$C$18,0,IF(AP16&lt;=Parameter!$C$19,(Parameter!$C$22*(AP16-Parameter!$C$18)/10000+Parameter!$C$23)*(AP16-Parameter!$C$18)/10000,IF(AP16&lt;=Parameter!$C$20,(Parameter!$C$24*(AP16-Parameter!$C$19)/10000+Parameter!$C$25)*(AP16-Parameter!$C$19)/10000+Parameter!$C$26,IF(AP16&lt;=Parameter!$C$21,0.42*AP16-Parameter!$C$27,0.45*AP16-Parameter!$C$28)))))</f>
        <v/>
      </c>
      <c r="AR16" s="40">
        <f>AQ16+IF(AQ16&lt;=(Parameter!$C$30*Parameter!$C$57*F16),0,MIN(Parameter!$C$29*AQ16,Parameter!$C$31*(AQ16-(Parameter!$C$30*Parameter!$C$57*F16))))+Eingaben!$C$16*AQ16</f>
        <v/>
      </c>
      <c r="AS16" s="40">
        <f>AD16-AR16</f>
        <v/>
      </c>
      <c r="AT16" s="40">
        <f>MAX(0,AS16-AM16)</f>
        <v/>
      </c>
      <c r="AU16" s="40">
        <f>MIN(AJ16,Parameter!$C$47)+AM16</f>
        <v/>
      </c>
      <c r="AV16" s="40">
        <f>MAX(0,AJ16-Parameter!$C$47)+AT15</f>
        <v/>
      </c>
      <c r="AW16" s="40">
        <f>MAX(0,AI16-Parameter!$C$49)</f>
        <v/>
      </c>
      <c r="AX16" s="40">
        <f>AI16</f>
        <v/>
      </c>
      <c r="AY16" s="40">
        <f>IF(D16=0,AY15,AY15*(1+Parameter!$C$60)+R16*(1+Parameter!$C$60)^0.5)</f>
        <v/>
      </c>
      <c r="AZ16" s="40">
        <f>IF(D16=0,AZ15,AZ15*(1+Parameter!$C$60)+S16*(1+Parameter!$C$60)^0.5)</f>
        <v/>
      </c>
      <c r="BA16" s="40">
        <f>IF(D16=0,BA15,BA15*(1+Parameter!$C$61)+AU16*(1+Parameter!$C$61)^0.5)</f>
        <v/>
      </c>
      <c r="BB16" s="40">
        <f>IF(D16=0,BB15,BB15*(1+Parameter!$C$61)+AV16*(1+Parameter!$C$61)^0.5)</f>
        <v/>
      </c>
      <c r="BC16" s="40">
        <f>IF(D16=0,BC15,BC15*(1+Parameter!$C$62)+AW16*(1+Parameter!$C$62)^0.5-BF16)</f>
        <v/>
      </c>
      <c r="BD16" s="40">
        <f>IF(D16=0,BD15,BD15+AW16+BE16)</f>
        <v/>
      </c>
      <c r="BE16" s="40">
        <f>MAX(0,MIN(BC15*(1+Parameter!$C$62)+AW16*(1+Parameter!$C$62)^0.5-BC15-AW16,BC15*Parameter!$C$39*Parameter!$C$40))</f>
        <v/>
      </c>
      <c r="BF16" s="40">
        <f>MAX(0,BE16*(1-Parameter!$C$37)-Parameter!$C$67)*Parameter!$C$36</f>
        <v/>
      </c>
      <c r="BG16" s="40">
        <f>IF(D16=0,BG15,BG15*(1+Parameter!$C$62)+AX16*(1+Parameter!$C$62)^0.5-BJ16)</f>
        <v/>
      </c>
      <c r="BH16" s="40">
        <f>IF(D16=0,BH15,BH15+AX16+BI16)</f>
        <v/>
      </c>
      <c r="BI16" s="40">
        <f>MAX(0,MIN(BG15*(1+Parameter!$C$62)+AX16*(1+Parameter!$C$62)^0.5-BG15-AX16,BG15*Parameter!$C$39*Parameter!$C$40))</f>
        <v/>
      </c>
      <c r="BJ16" s="40">
        <f>MAX(0,BI16*(1-Parameter!$C$37)-Parameter!$C$67)*Parameter!$C$36</f>
        <v/>
      </c>
      <c r="BK16" s="38">
        <f>T16/(Parameter!$C$8*E16)</f>
        <v/>
      </c>
      <c r="BL16" s="38">
        <f>BL15+BK16</f>
        <v/>
      </c>
    </row>
    <row r="17">
      <c r="A17" s="32">
        <f>2026+9</f>
        <v/>
      </c>
      <c r="B17" s="32">
        <f>Eingaben!$C$5+9</f>
        <v/>
      </c>
      <c r="C17" s="32">
        <f>IF(AND(B17&lt;Eingaben!$C$8,B17&lt;Eingaben!$C$6),1,0)</f>
        <v/>
      </c>
      <c r="D17" s="32">
        <f>IF(B17&lt;Eingaben!$C$6,1,0)</f>
        <v/>
      </c>
      <c r="E17" s="41">
        <f>(1+Eingaben!$C$13)^9</f>
        <v/>
      </c>
      <c r="F17" s="41">
        <f>(1+Eingaben!$C$17)^9</f>
        <v/>
      </c>
      <c r="G17" s="42">
        <f>IF(B17&gt;=Eingaben!$C$9,Eingaben!$C$10,1)</f>
        <v/>
      </c>
      <c r="H17" s="43">
        <f>Eingaben!$C$12*E17*G17*C17</f>
        <v/>
      </c>
      <c r="I17" s="43">
        <f>Parameter!$C$4*E17</f>
        <v/>
      </c>
      <c r="J17" s="43">
        <f>Parameter!$C$5*E17</f>
        <v/>
      </c>
      <c r="K17" s="43">
        <f>MIN(H17,12*(IF(Eingaben!$C$22=2,Umrechnung!$C$54,Eingaben!$C$23))*IF(Eingaben!$C$25=1,E17,1))*C17</f>
        <v/>
      </c>
      <c r="L17" s="43">
        <f>MIN(K17,MAX(0,Parameter!$C$42*I17-P17))</f>
        <v/>
      </c>
      <c r="M17" s="43">
        <f>MIN(K17,MAX(0,Parameter!$C$43*I17-N17))</f>
        <v/>
      </c>
      <c r="N17" s="43">
        <f>C17*IF(K17/12+0.000000001&lt;Eingaben!$C$29,0,12*Eingaben!$C$27*IF(Eingaben!$C$28=1,E17,1))</f>
        <v/>
      </c>
      <c r="O17" s="43">
        <f>IF(Eingaben!$C$30=2,MIN(Eingaben!$C$26*K17,W17),Eingaben!$C$26*IF(Eingaben!$C$30=1,M17,K17))</f>
        <v/>
      </c>
      <c r="P17" s="43">
        <f>O17+N17</f>
        <v/>
      </c>
      <c r="Q17" s="43">
        <f>K17+P17</f>
        <v/>
      </c>
      <c r="R17" s="43">
        <f>MIN(Q17,Parameter!$C$42*I17)</f>
        <v/>
      </c>
      <c r="S17" s="43">
        <f>Q17-R17</f>
        <v/>
      </c>
      <c r="T17" s="43">
        <f>MIN(H17,I17)-MIN(H17-M17,I17)</f>
        <v/>
      </c>
      <c r="U17" s="43">
        <f>MIN(H17,J17)-MIN(H17-M17,J17)</f>
        <v/>
      </c>
      <c r="V17" s="43">
        <f>T17*(Parameter!$C$10+Parameter!$C$11)+U17*((Parameter!$C$12+Parameter!$C$13)/2+Parameter!$C$58)</f>
        <v/>
      </c>
      <c r="W17" s="43">
        <f>T17*(Parameter!$C$10+Parameter!$C$11)+U17*((Parameter!$C$12+Parameter!$C$13)/2+Parameter!$C$15)</f>
        <v/>
      </c>
      <c r="X17" s="43">
        <f>MIN(H17,I17)*Parameter!$C$10+MIN(H17,J17)*(0.96*(Parameter!$C$12+Parameter!$C$13)/2+Parameter!$C$58)</f>
        <v/>
      </c>
      <c r="Y17" s="43">
        <f>MIN(H17-M17,I17)*Parameter!$C$10+MIN(H17-M17,J17)*(0.96*(Parameter!$C$12+Parameter!$C$13)/2+Parameter!$C$58)</f>
        <v/>
      </c>
      <c r="Z17" s="43">
        <f>MAX(0,H17-Parameter!$C$32*F17-Parameter!$C$33-X17)</f>
        <v/>
      </c>
      <c r="AA17" s="43">
        <f>MAX(0,H17-L17-Parameter!$C$32*F17-Parameter!$C$33-Y17)</f>
        <v/>
      </c>
      <c r="AB17" s="43">
        <f>MAX(0,(Z17+IF(Eingaben!$C$14=3,Eingaben!$C$15,0))/Parameter!$C$57/F17)</f>
        <v/>
      </c>
      <c r="AC17" s="43">
        <f>Parameter!$C$57*F17*(IF(AB17&lt;=Parameter!$C$18,0,IF(AB17&lt;=Parameter!$C$19,(Parameter!$C$22*(AB17-Parameter!$C$18)/10000+Parameter!$C$23)*(AB17-Parameter!$C$18)/10000,IF(AB17&lt;=Parameter!$C$20,(Parameter!$C$24*(AB17-Parameter!$C$19)/10000+Parameter!$C$25)*(AB17-Parameter!$C$19)/10000+Parameter!$C$26,IF(AB17&lt;=Parameter!$C$21,0.42*AB17-Parameter!$C$27,0.45*AB17-Parameter!$C$28)))))</f>
        <v/>
      </c>
      <c r="AD17" s="43">
        <f>AC17+IF(AC17&lt;=(Parameter!$C$30*Parameter!$C$57*F17),0,MIN(Parameter!$C$29*AC17,Parameter!$C$31*(AC17-(Parameter!$C$30*Parameter!$C$57*F17))))+Eingaben!$C$16*AC17</f>
        <v/>
      </c>
      <c r="AE17" s="43">
        <f>MAX(0,(AA17+IF(Eingaben!$C$14=3,Eingaben!$C$15,0))/Parameter!$C$57/F17)</f>
        <v/>
      </c>
      <c r="AF17" s="43">
        <f>Parameter!$C$57*F17*(IF(AE17&lt;=Parameter!$C$18,0,IF(AE17&lt;=Parameter!$C$19,(Parameter!$C$22*(AE17-Parameter!$C$18)/10000+Parameter!$C$23)*(AE17-Parameter!$C$18)/10000,IF(AE17&lt;=Parameter!$C$20,(Parameter!$C$24*(AE17-Parameter!$C$19)/10000+Parameter!$C$25)*(AE17-Parameter!$C$19)/10000+Parameter!$C$26,IF(AE17&lt;=Parameter!$C$21,0.42*AE17-Parameter!$C$27,0.45*AE17-Parameter!$C$28)))))</f>
        <v/>
      </c>
      <c r="AG17" s="43">
        <f>AF17+IF(AF17&lt;=(Parameter!$C$30*Parameter!$C$57*F17),0,MIN(Parameter!$C$29*AF17,Parameter!$C$31*(AF17-(Parameter!$C$30*Parameter!$C$57*F17))))+Eingaben!$C$16*AF17</f>
        <v/>
      </c>
      <c r="AH17" s="43">
        <f>AD17-AG17</f>
        <v/>
      </c>
      <c r="AI17" s="43">
        <f>MAX(0,K17-V17-AH17)</f>
        <v/>
      </c>
      <c r="AJ17" s="43">
        <f>MIN(AI17,Parameter!$C$49)</f>
        <v/>
      </c>
      <c r="AK17" s="43">
        <f>Parameter!$C$44*MIN(AJ17,Parameter!$C$45)+Parameter!$C$46*MAX(0,MIN(AJ17,Parameter!$C$47)-Parameter!$C$45)</f>
        <v/>
      </c>
      <c r="AL17" s="43">
        <f>MIN(AJ17,Parameter!$C$48)*Eingaben!$C$18*IF(9&lt;Eingaben!$C$19,1,0)</f>
        <v/>
      </c>
      <c r="AM17" s="43">
        <f>MIN(AK17+AL17,MAX(0,Parameter!$C$49-AJ17))</f>
        <v/>
      </c>
      <c r="AN17" s="43">
        <f>MIN(MIN(AJ17,Parameter!$C$47)+AM17,Parameter!$C$50)</f>
        <v/>
      </c>
      <c r="AO17" s="43">
        <f>MAX(0,Z17-AN17)</f>
        <v/>
      </c>
      <c r="AP17" s="43">
        <f>MAX(0,(AO17+IF(Eingaben!$C$14=3,Eingaben!$C$15,0))/Parameter!$C$57/F17)</f>
        <v/>
      </c>
      <c r="AQ17" s="43">
        <f>Parameter!$C$57*F17*(IF(AP17&lt;=Parameter!$C$18,0,IF(AP17&lt;=Parameter!$C$19,(Parameter!$C$22*(AP17-Parameter!$C$18)/10000+Parameter!$C$23)*(AP17-Parameter!$C$18)/10000,IF(AP17&lt;=Parameter!$C$20,(Parameter!$C$24*(AP17-Parameter!$C$19)/10000+Parameter!$C$25)*(AP17-Parameter!$C$19)/10000+Parameter!$C$26,IF(AP17&lt;=Parameter!$C$21,0.42*AP17-Parameter!$C$27,0.45*AP17-Parameter!$C$28)))))</f>
        <v/>
      </c>
      <c r="AR17" s="43">
        <f>AQ17+IF(AQ17&lt;=(Parameter!$C$30*Parameter!$C$57*F17),0,MIN(Parameter!$C$29*AQ17,Parameter!$C$31*(AQ17-(Parameter!$C$30*Parameter!$C$57*F17))))+Eingaben!$C$16*AQ17</f>
        <v/>
      </c>
      <c r="AS17" s="43">
        <f>AD17-AR17</f>
        <v/>
      </c>
      <c r="AT17" s="43">
        <f>MAX(0,AS17-AM17)</f>
        <v/>
      </c>
      <c r="AU17" s="43">
        <f>MIN(AJ17,Parameter!$C$47)+AM17</f>
        <v/>
      </c>
      <c r="AV17" s="43">
        <f>MAX(0,AJ17-Parameter!$C$47)+AT16</f>
        <v/>
      </c>
      <c r="AW17" s="43">
        <f>MAX(0,AI17-Parameter!$C$49)</f>
        <v/>
      </c>
      <c r="AX17" s="43">
        <f>AI17</f>
        <v/>
      </c>
      <c r="AY17" s="43">
        <f>IF(D17=0,AY16,AY16*(1+Parameter!$C$60)+R17*(1+Parameter!$C$60)^0.5)</f>
        <v/>
      </c>
      <c r="AZ17" s="43">
        <f>IF(D17=0,AZ16,AZ16*(1+Parameter!$C$60)+S17*(1+Parameter!$C$60)^0.5)</f>
        <v/>
      </c>
      <c r="BA17" s="43">
        <f>IF(D17=0,BA16,BA16*(1+Parameter!$C$61)+AU17*(1+Parameter!$C$61)^0.5)</f>
        <v/>
      </c>
      <c r="BB17" s="43">
        <f>IF(D17=0,BB16,BB16*(1+Parameter!$C$61)+AV17*(1+Parameter!$C$61)^0.5)</f>
        <v/>
      </c>
      <c r="BC17" s="43">
        <f>IF(D17=0,BC16,BC16*(1+Parameter!$C$62)+AW17*(1+Parameter!$C$62)^0.5-BF17)</f>
        <v/>
      </c>
      <c r="BD17" s="43">
        <f>IF(D17=0,BD16,BD16+AW17+BE17)</f>
        <v/>
      </c>
      <c r="BE17" s="43">
        <f>MAX(0,MIN(BC16*(1+Parameter!$C$62)+AW17*(1+Parameter!$C$62)^0.5-BC16-AW17,BC16*Parameter!$C$39*Parameter!$C$40))</f>
        <v/>
      </c>
      <c r="BF17" s="43">
        <f>MAX(0,BE17*(1-Parameter!$C$37)-Parameter!$C$67)*Parameter!$C$36</f>
        <v/>
      </c>
      <c r="BG17" s="43">
        <f>IF(D17=0,BG16,BG16*(1+Parameter!$C$62)+AX17*(1+Parameter!$C$62)^0.5-BJ17)</f>
        <v/>
      </c>
      <c r="BH17" s="43">
        <f>IF(D17=0,BH16,BH16+AX17+BI17)</f>
        <v/>
      </c>
      <c r="BI17" s="43">
        <f>MAX(0,MIN(BG16*(1+Parameter!$C$62)+AX17*(1+Parameter!$C$62)^0.5-BG16-AX17,BG16*Parameter!$C$39*Parameter!$C$40))</f>
        <v/>
      </c>
      <c r="BJ17" s="43">
        <f>MAX(0,BI17*(1-Parameter!$C$37)-Parameter!$C$67)*Parameter!$C$36</f>
        <v/>
      </c>
      <c r="BK17" s="41">
        <f>T17/(Parameter!$C$8*E17)</f>
        <v/>
      </c>
      <c r="BL17" s="41">
        <f>BL16+BK17</f>
        <v/>
      </c>
    </row>
    <row r="18">
      <c r="A18" s="30">
        <f>2026+10</f>
        <v/>
      </c>
      <c r="B18" s="30">
        <f>Eingaben!$C$5+10</f>
        <v/>
      </c>
      <c r="C18" s="30">
        <f>IF(AND(B18&lt;Eingaben!$C$8,B18&lt;Eingaben!$C$6),1,0)</f>
        <v/>
      </c>
      <c r="D18" s="30">
        <f>IF(B18&lt;Eingaben!$C$6,1,0)</f>
        <v/>
      </c>
      <c r="E18" s="38">
        <f>(1+Eingaben!$C$13)^10</f>
        <v/>
      </c>
      <c r="F18" s="38">
        <f>(1+Eingaben!$C$17)^10</f>
        <v/>
      </c>
      <c r="G18" s="39">
        <f>IF(B18&gt;=Eingaben!$C$9,Eingaben!$C$10,1)</f>
        <v/>
      </c>
      <c r="H18" s="40">
        <f>Eingaben!$C$12*E18*G18*C18</f>
        <v/>
      </c>
      <c r="I18" s="40">
        <f>Parameter!$C$4*E18</f>
        <v/>
      </c>
      <c r="J18" s="40">
        <f>Parameter!$C$5*E18</f>
        <v/>
      </c>
      <c r="K18" s="40">
        <f>MIN(H18,12*(IF(Eingaben!$C$22=2,Umrechnung!$C$54,Eingaben!$C$23))*IF(Eingaben!$C$25=1,E18,1))*C18</f>
        <v/>
      </c>
      <c r="L18" s="40">
        <f>MIN(K18,MAX(0,Parameter!$C$42*I18-P18))</f>
        <v/>
      </c>
      <c r="M18" s="40">
        <f>MIN(K18,MAX(0,Parameter!$C$43*I18-N18))</f>
        <v/>
      </c>
      <c r="N18" s="40">
        <f>C18*IF(K18/12+0.000000001&lt;Eingaben!$C$29,0,12*Eingaben!$C$27*IF(Eingaben!$C$28=1,E18,1))</f>
        <v/>
      </c>
      <c r="O18" s="40">
        <f>IF(Eingaben!$C$30=2,MIN(Eingaben!$C$26*K18,W18),Eingaben!$C$26*IF(Eingaben!$C$30=1,M18,K18))</f>
        <v/>
      </c>
      <c r="P18" s="40">
        <f>O18+N18</f>
        <v/>
      </c>
      <c r="Q18" s="40">
        <f>K18+P18</f>
        <v/>
      </c>
      <c r="R18" s="40">
        <f>MIN(Q18,Parameter!$C$42*I18)</f>
        <v/>
      </c>
      <c r="S18" s="40">
        <f>Q18-R18</f>
        <v/>
      </c>
      <c r="T18" s="40">
        <f>MIN(H18,I18)-MIN(H18-M18,I18)</f>
        <v/>
      </c>
      <c r="U18" s="40">
        <f>MIN(H18,J18)-MIN(H18-M18,J18)</f>
        <v/>
      </c>
      <c r="V18" s="40">
        <f>T18*(Parameter!$C$10+Parameter!$C$11)+U18*((Parameter!$C$12+Parameter!$C$13)/2+Parameter!$C$58)</f>
        <v/>
      </c>
      <c r="W18" s="40">
        <f>T18*(Parameter!$C$10+Parameter!$C$11)+U18*((Parameter!$C$12+Parameter!$C$13)/2+Parameter!$C$15)</f>
        <v/>
      </c>
      <c r="X18" s="40">
        <f>MIN(H18,I18)*Parameter!$C$10+MIN(H18,J18)*(0.96*(Parameter!$C$12+Parameter!$C$13)/2+Parameter!$C$58)</f>
        <v/>
      </c>
      <c r="Y18" s="40">
        <f>MIN(H18-M18,I18)*Parameter!$C$10+MIN(H18-M18,J18)*(0.96*(Parameter!$C$12+Parameter!$C$13)/2+Parameter!$C$58)</f>
        <v/>
      </c>
      <c r="Z18" s="40">
        <f>MAX(0,H18-Parameter!$C$32*F18-Parameter!$C$33-X18)</f>
        <v/>
      </c>
      <c r="AA18" s="40">
        <f>MAX(0,H18-L18-Parameter!$C$32*F18-Parameter!$C$33-Y18)</f>
        <v/>
      </c>
      <c r="AB18" s="40">
        <f>MAX(0,(Z18+IF(Eingaben!$C$14=3,Eingaben!$C$15,0))/Parameter!$C$57/F18)</f>
        <v/>
      </c>
      <c r="AC18" s="40">
        <f>Parameter!$C$57*F18*(IF(AB18&lt;=Parameter!$C$18,0,IF(AB18&lt;=Parameter!$C$19,(Parameter!$C$22*(AB18-Parameter!$C$18)/10000+Parameter!$C$23)*(AB18-Parameter!$C$18)/10000,IF(AB18&lt;=Parameter!$C$20,(Parameter!$C$24*(AB18-Parameter!$C$19)/10000+Parameter!$C$25)*(AB18-Parameter!$C$19)/10000+Parameter!$C$26,IF(AB18&lt;=Parameter!$C$21,0.42*AB18-Parameter!$C$27,0.45*AB18-Parameter!$C$28)))))</f>
        <v/>
      </c>
      <c r="AD18" s="40">
        <f>AC18+IF(AC18&lt;=(Parameter!$C$30*Parameter!$C$57*F18),0,MIN(Parameter!$C$29*AC18,Parameter!$C$31*(AC18-(Parameter!$C$30*Parameter!$C$57*F18))))+Eingaben!$C$16*AC18</f>
        <v/>
      </c>
      <c r="AE18" s="40">
        <f>MAX(0,(AA18+IF(Eingaben!$C$14=3,Eingaben!$C$15,0))/Parameter!$C$57/F18)</f>
        <v/>
      </c>
      <c r="AF18" s="40">
        <f>Parameter!$C$57*F18*(IF(AE18&lt;=Parameter!$C$18,0,IF(AE18&lt;=Parameter!$C$19,(Parameter!$C$22*(AE18-Parameter!$C$18)/10000+Parameter!$C$23)*(AE18-Parameter!$C$18)/10000,IF(AE18&lt;=Parameter!$C$20,(Parameter!$C$24*(AE18-Parameter!$C$19)/10000+Parameter!$C$25)*(AE18-Parameter!$C$19)/10000+Parameter!$C$26,IF(AE18&lt;=Parameter!$C$21,0.42*AE18-Parameter!$C$27,0.45*AE18-Parameter!$C$28)))))</f>
        <v/>
      </c>
      <c r="AG18" s="40">
        <f>AF18+IF(AF18&lt;=(Parameter!$C$30*Parameter!$C$57*F18),0,MIN(Parameter!$C$29*AF18,Parameter!$C$31*(AF18-(Parameter!$C$30*Parameter!$C$57*F18))))+Eingaben!$C$16*AF18</f>
        <v/>
      </c>
      <c r="AH18" s="40">
        <f>AD18-AG18</f>
        <v/>
      </c>
      <c r="AI18" s="40">
        <f>MAX(0,K18-V18-AH18)</f>
        <v/>
      </c>
      <c r="AJ18" s="40">
        <f>MIN(AI18,Parameter!$C$49)</f>
        <v/>
      </c>
      <c r="AK18" s="40">
        <f>Parameter!$C$44*MIN(AJ18,Parameter!$C$45)+Parameter!$C$46*MAX(0,MIN(AJ18,Parameter!$C$47)-Parameter!$C$45)</f>
        <v/>
      </c>
      <c r="AL18" s="40">
        <f>MIN(AJ18,Parameter!$C$48)*Eingaben!$C$18*IF(10&lt;Eingaben!$C$19,1,0)</f>
        <v/>
      </c>
      <c r="AM18" s="40">
        <f>MIN(AK18+AL18,MAX(0,Parameter!$C$49-AJ18))</f>
        <v/>
      </c>
      <c r="AN18" s="40">
        <f>MIN(MIN(AJ18,Parameter!$C$47)+AM18,Parameter!$C$50)</f>
        <v/>
      </c>
      <c r="AO18" s="40">
        <f>MAX(0,Z18-AN18)</f>
        <v/>
      </c>
      <c r="AP18" s="40">
        <f>MAX(0,(AO18+IF(Eingaben!$C$14=3,Eingaben!$C$15,0))/Parameter!$C$57/F18)</f>
        <v/>
      </c>
      <c r="AQ18" s="40">
        <f>Parameter!$C$57*F18*(IF(AP18&lt;=Parameter!$C$18,0,IF(AP18&lt;=Parameter!$C$19,(Parameter!$C$22*(AP18-Parameter!$C$18)/10000+Parameter!$C$23)*(AP18-Parameter!$C$18)/10000,IF(AP18&lt;=Parameter!$C$20,(Parameter!$C$24*(AP18-Parameter!$C$19)/10000+Parameter!$C$25)*(AP18-Parameter!$C$19)/10000+Parameter!$C$26,IF(AP18&lt;=Parameter!$C$21,0.42*AP18-Parameter!$C$27,0.45*AP18-Parameter!$C$28)))))</f>
        <v/>
      </c>
      <c r="AR18" s="40">
        <f>AQ18+IF(AQ18&lt;=(Parameter!$C$30*Parameter!$C$57*F18),0,MIN(Parameter!$C$29*AQ18,Parameter!$C$31*(AQ18-(Parameter!$C$30*Parameter!$C$57*F18))))+Eingaben!$C$16*AQ18</f>
        <v/>
      </c>
      <c r="AS18" s="40">
        <f>AD18-AR18</f>
        <v/>
      </c>
      <c r="AT18" s="40">
        <f>MAX(0,AS18-AM18)</f>
        <v/>
      </c>
      <c r="AU18" s="40">
        <f>MIN(AJ18,Parameter!$C$47)+AM18</f>
        <v/>
      </c>
      <c r="AV18" s="40">
        <f>MAX(0,AJ18-Parameter!$C$47)+AT17</f>
        <v/>
      </c>
      <c r="AW18" s="40">
        <f>MAX(0,AI18-Parameter!$C$49)</f>
        <v/>
      </c>
      <c r="AX18" s="40">
        <f>AI18</f>
        <v/>
      </c>
      <c r="AY18" s="40">
        <f>IF(D18=0,AY17,AY17*(1+Parameter!$C$60)+R18*(1+Parameter!$C$60)^0.5)</f>
        <v/>
      </c>
      <c r="AZ18" s="40">
        <f>IF(D18=0,AZ17,AZ17*(1+Parameter!$C$60)+S18*(1+Parameter!$C$60)^0.5)</f>
        <v/>
      </c>
      <c r="BA18" s="40">
        <f>IF(D18=0,BA17,BA17*(1+Parameter!$C$61)+AU18*(1+Parameter!$C$61)^0.5)</f>
        <v/>
      </c>
      <c r="BB18" s="40">
        <f>IF(D18=0,BB17,BB17*(1+Parameter!$C$61)+AV18*(1+Parameter!$C$61)^0.5)</f>
        <v/>
      </c>
      <c r="BC18" s="40">
        <f>IF(D18=0,BC17,BC17*(1+Parameter!$C$62)+AW18*(1+Parameter!$C$62)^0.5-BF18)</f>
        <v/>
      </c>
      <c r="BD18" s="40">
        <f>IF(D18=0,BD17,BD17+AW18+BE18)</f>
        <v/>
      </c>
      <c r="BE18" s="40">
        <f>MAX(0,MIN(BC17*(1+Parameter!$C$62)+AW18*(1+Parameter!$C$62)^0.5-BC17-AW18,BC17*Parameter!$C$39*Parameter!$C$40))</f>
        <v/>
      </c>
      <c r="BF18" s="40">
        <f>MAX(0,BE18*(1-Parameter!$C$37)-Parameter!$C$67)*Parameter!$C$36</f>
        <v/>
      </c>
      <c r="BG18" s="40">
        <f>IF(D18=0,BG17,BG17*(1+Parameter!$C$62)+AX18*(1+Parameter!$C$62)^0.5-BJ18)</f>
        <v/>
      </c>
      <c r="BH18" s="40">
        <f>IF(D18=0,BH17,BH17+AX18+BI18)</f>
        <v/>
      </c>
      <c r="BI18" s="40">
        <f>MAX(0,MIN(BG17*(1+Parameter!$C$62)+AX18*(1+Parameter!$C$62)^0.5-BG17-AX18,BG17*Parameter!$C$39*Parameter!$C$40))</f>
        <v/>
      </c>
      <c r="BJ18" s="40">
        <f>MAX(0,BI18*(1-Parameter!$C$37)-Parameter!$C$67)*Parameter!$C$36</f>
        <v/>
      </c>
      <c r="BK18" s="38">
        <f>T18/(Parameter!$C$8*E18)</f>
        <v/>
      </c>
      <c r="BL18" s="38">
        <f>BL17+BK18</f>
        <v/>
      </c>
    </row>
    <row r="19">
      <c r="A19" s="32">
        <f>2026+11</f>
        <v/>
      </c>
      <c r="B19" s="32">
        <f>Eingaben!$C$5+11</f>
        <v/>
      </c>
      <c r="C19" s="32">
        <f>IF(AND(B19&lt;Eingaben!$C$8,B19&lt;Eingaben!$C$6),1,0)</f>
        <v/>
      </c>
      <c r="D19" s="32">
        <f>IF(B19&lt;Eingaben!$C$6,1,0)</f>
        <v/>
      </c>
      <c r="E19" s="41">
        <f>(1+Eingaben!$C$13)^11</f>
        <v/>
      </c>
      <c r="F19" s="41">
        <f>(1+Eingaben!$C$17)^11</f>
        <v/>
      </c>
      <c r="G19" s="42">
        <f>IF(B19&gt;=Eingaben!$C$9,Eingaben!$C$10,1)</f>
        <v/>
      </c>
      <c r="H19" s="43">
        <f>Eingaben!$C$12*E19*G19*C19</f>
        <v/>
      </c>
      <c r="I19" s="43">
        <f>Parameter!$C$4*E19</f>
        <v/>
      </c>
      <c r="J19" s="43">
        <f>Parameter!$C$5*E19</f>
        <v/>
      </c>
      <c r="K19" s="43">
        <f>MIN(H19,12*(IF(Eingaben!$C$22=2,Umrechnung!$C$54,Eingaben!$C$23))*IF(Eingaben!$C$25=1,E19,1))*C19</f>
        <v/>
      </c>
      <c r="L19" s="43">
        <f>MIN(K19,MAX(0,Parameter!$C$42*I19-P19))</f>
        <v/>
      </c>
      <c r="M19" s="43">
        <f>MIN(K19,MAX(0,Parameter!$C$43*I19-N19))</f>
        <v/>
      </c>
      <c r="N19" s="43">
        <f>C19*IF(K19/12+0.000000001&lt;Eingaben!$C$29,0,12*Eingaben!$C$27*IF(Eingaben!$C$28=1,E19,1))</f>
        <v/>
      </c>
      <c r="O19" s="43">
        <f>IF(Eingaben!$C$30=2,MIN(Eingaben!$C$26*K19,W19),Eingaben!$C$26*IF(Eingaben!$C$30=1,M19,K19))</f>
        <v/>
      </c>
      <c r="P19" s="43">
        <f>O19+N19</f>
        <v/>
      </c>
      <c r="Q19" s="43">
        <f>K19+P19</f>
        <v/>
      </c>
      <c r="R19" s="43">
        <f>MIN(Q19,Parameter!$C$42*I19)</f>
        <v/>
      </c>
      <c r="S19" s="43">
        <f>Q19-R19</f>
        <v/>
      </c>
      <c r="T19" s="43">
        <f>MIN(H19,I19)-MIN(H19-M19,I19)</f>
        <v/>
      </c>
      <c r="U19" s="43">
        <f>MIN(H19,J19)-MIN(H19-M19,J19)</f>
        <v/>
      </c>
      <c r="V19" s="43">
        <f>T19*(Parameter!$C$10+Parameter!$C$11)+U19*((Parameter!$C$12+Parameter!$C$13)/2+Parameter!$C$58)</f>
        <v/>
      </c>
      <c r="W19" s="43">
        <f>T19*(Parameter!$C$10+Parameter!$C$11)+U19*((Parameter!$C$12+Parameter!$C$13)/2+Parameter!$C$15)</f>
        <v/>
      </c>
      <c r="X19" s="43">
        <f>MIN(H19,I19)*Parameter!$C$10+MIN(H19,J19)*(0.96*(Parameter!$C$12+Parameter!$C$13)/2+Parameter!$C$58)</f>
        <v/>
      </c>
      <c r="Y19" s="43">
        <f>MIN(H19-M19,I19)*Parameter!$C$10+MIN(H19-M19,J19)*(0.96*(Parameter!$C$12+Parameter!$C$13)/2+Parameter!$C$58)</f>
        <v/>
      </c>
      <c r="Z19" s="43">
        <f>MAX(0,H19-Parameter!$C$32*F19-Parameter!$C$33-X19)</f>
        <v/>
      </c>
      <c r="AA19" s="43">
        <f>MAX(0,H19-L19-Parameter!$C$32*F19-Parameter!$C$33-Y19)</f>
        <v/>
      </c>
      <c r="AB19" s="43">
        <f>MAX(0,(Z19+IF(Eingaben!$C$14=3,Eingaben!$C$15,0))/Parameter!$C$57/F19)</f>
        <v/>
      </c>
      <c r="AC19" s="43">
        <f>Parameter!$C$57*F19*(IF(AB19&lt;=Parameter!$C$18,0,IF(AB19&lt;=Parameter!$C$19,(Parameter!$C$22*(AB19-Parameter!$C$18)/10000+Parameter!$C$23)*(AB19-Parameter!$C$18)/10000,IF(AB19&lt;=Parameter!$C$20,(Parameter!$C$24*(AB19-Parameter!$C$19)/10000+Parameter!$C$25)*(AB19-Parameter!$C$19)/10000+Parameter!$C$26,IF(AB19&lt;=Parameter!$C$21,0.42*AB19-Parameter!$C$27,0.45*AB19-Parameter!$C$28)))))</f>
        <v/>
      </c>
      <c r="AD19" s="43">
        <f>AC19+IF(AC19&lt;=(Parameter!$C$30*Parameter!$C$57*F19),0,MIN(Parameter!$C$29*AC19,Parameter!$C$31*(AC19-(Parameter!$C$30*Parameter!$C$57*F19))))+Eingaben!$C$16*AC19</f>
        <v/>
      </c>
      <c r="AE19" s="43">
        <f>MAX(0,(AA19+IF(Eingaben!$C$14=3,Eingaben!$C$15,0))/Parameter!$C$57/F19)</f>
        <v/>
      </c>
      <c r="AF19" s="43">
        <f>Parameter!$C$57*F19*(IF(AE19&lt;=Parameter!$C$18,0,IF(AE19&lt;=Parameter!$C$19,(Parameter!$C$22*(AE19-Parameter!$C$18)/10000+Parameter!$C$23)*(AE19-Parameter!$C$18)/10000,IF(AE19&lt;=Parameter!$C$20,(Parameter!$C$24*(AE19-Parameter!$C$19)/10000+Parameter!$C$25)*(AE19-Parameter!$C$19)/10000+Parameter!$C$26,IF(AE19&lt;=Parameter!$C$21,0.42*AE19-Parameter!$C$27,0.45*AE19-Parameter!$C$28)))))</f>
        <v/>
      </c>
      <c r="AG19" s="43">
        <f>AF19+IF(AF19&lt;=(Parameter!$C$30*Parameter!$C$57*F19),0,MIN(Parameter!$C$29*AF19,Parameter!$C$31*(AF19-(Parameter!$C$30*Parameter!$C$57*F19))))+Eingaben!$C$16*AF19</f>
        <v/>
      </c>
      <c r="AH19" s="43">
        <f>AD19-AG19</f>
        <v/>
      </c>
      <c r="AI19" s="43">
        <f>MAX(0,K19-V19-AH19)</f>
        <v/>
      </c>
      <c r="AJ19" s="43">
        <f>MIN(AI19,Parameter!$C$49)</f>
        <v/>
      </c>
      <c r="AK19" s="43">
        <f>Parameter!$C$44*MIN(AJ19,Parameter!$C$45)+Parameter!$C$46*MAX(0,MIN(AJ19,Parameter!$C$47)-Parameter!$C$45)</f>
        <v/>
      </c>
      <c r="AL19" s="43">
        <f>MIN(AJ19,Parameter!$C$48)*Eingaben!$C$18*IF(11&lt;Eingaben!$C$19,1,0)</f>
        <v/>
      </c>
      <c r="AM19" s="43">
        <f>MIN(AK19+AL19,MAX(0,Parameter!$C$49-AJ19))</f>
        <v/>
      </c>
      <c r="AN19" s="43">
        <f>MIN(MIN(AJ19,Parameter!$C$47)+AM19,Parameter!$C$50)</f>
        <v/>
      </c>
      <c r="AO19" s="43">
        <f>MAX(0,Z19-AN19)</f>
        <v/>
      </c>
      <c r="AP19" s="43">
        <f>MAX(0,(AO19+IF(Eingaben!$C$14=3,Eingaben!$C$15,0))/Parameter!$C$57/F19)</f>
        <v/>
      </c>
      <c r="AQ19" s="43">
        <f>Parameter!$C$57*F19*(IF(AP19&lt;=Parameter!$C$18,0,IF(AP19&lt;=Parameter!$C$19,(Parameter!$C$22*(AP19-Parameter!$C$18)/10000+Parameter!$C$23)*(AP19-Parameter!$C$18)/10000,IF(AP19&lt;=Parameter!$C$20,(Parameter!$C$24*(AP19-Parameter!$C$19)/10000+Parameter!$C$25)*(AP19-Parameter!$C$19)/10000+Parameter!$C$26,IF(AP19&lt;=Parameter!$C$21,0.42*AP19-Parameter!$C$27,0.45*AP19-Parameter!$C$28)))))</f>
        <v/>
      </c>
      <c r="AR19" s="43">
        <f>AQ19+IF(AQ19&lt;=(Parameter!$C$30*Parameter!$C$57*F19),0,MIN(Parameter!$C$29*AQ19,Parameter!$C$31*(AQ19-(Parameter!$C$30*Parameter!$C$57*F19))))+Eingaben!$C$16*AQ19</f>
        <v/>
      </c>
      <c r="AS19" s="43">
        <f>AD19-AR19</f>
        <v/>
      </c>
      <c r="AT19" s="43">
        <f>MAX(0,AS19-AM19)</f>
        <v/>
      </c>
      <c r="AU19" s="43">
        <f>MIN(AJ19,Parameter!$C$47)+AM19</f>
        <v/>
      </c>
      <c r="AV19" s="43">
        <f>MAX(0,AJ19-Parameter!$C$47)+AT18</f>
        <v/>
      </c>
      <c r="AW19" s="43">
        <f>MAX(0,AI19-Parameter!$C$49)</f>
        <v/>
      </c>
      <c r="AX19" s="43">
        <f>AI19</f>
        <v/>
      </c>
      <c r="AY19" s="43">
        <f>IF(D19=0,AY18,AY18*(1+Parameter!$C$60)+R19*(1+Parameter!$C$60)^0.5)</f>
        <v/>
      </c>
      <c r="AZ19" s="43">
        <f>IF(D19=0,AZ18,AZ18*(1+Parameter!$C$60)+S19*(1+Parameter!$C$60)^0.5)</f>
        <v/>
      </c>
      <c r="BA19" s="43">
        <f>IF(D19=0,BA18,BA18*(1+Parameter!$C$61)+AU19*(1+Parameter!$C$61)^0.5)</f>
        <v/>
      </c>
      <c r="BB19" s="43">
        <f>IF(D19=0,BB18,BB18*(1+Parameter!$C$61)+AV19*(1+Parameter!$C$61)^0.5)</f>
        <v/>
      </c>
      <c r="BC19" s="43">
        <f>IF(D19=0,BC18,BC18*(1+Parameter!$C$62)+AW19*(1+Parameter!$C$62)^0.5-BF19)</f>
        <v/>
      </c>
      <c r="BD19" s="43">
        <f>IF(D19=0,BD18,BD18+AW19+BE19)</f>
        <v/>
      </c>
      <c r="BE19" s="43">
        <f>MAX(0,MIN(BC18*(1+Parameter!$C$62)+AW19*(1+Parameter!$C$62)^0.5-BC18-AW19,BC18*Parameter!$C$39*Parameter!$C$40))</f>
        <v/>
      </c>
      <c r="BF19" s="43">
        <f>MAX(0,BE19*(1-Parameter!$C$37)-Parameter!$C$67)*Parameter!$C$36</f>
        <v/>
      </c>
      <c r="BG19" s="43">
        <f>IF(D19=0,BG18,BG18*(1+Parameter!$C$62)+AX19*(1+Parameter!$C$62)^0.5-BJ19)</f>
        <v/>
      </c>
      <c r="BH19" s="43">
        <f>IF(D19=0,BH18,BH18+AX19+BI19)</f>
        <v/>
      </c>
      <c r="BI19" s="43">
        <f>MAX(0,MIN(BG18*(1+Parameter!$C$62)+AX19*(1+Parameter!$C$62)^0.5-BG18-AX19,BG18*Parameter!$C$39*Parameter!$C$40))</f>
        <v/>
      </c>
      <c r="BJ19" s="43">
        <f>MAX(0,BI19*(1-Parameter!$C$37)-Parameter!$C$67)*Parameter!$C$36</f>
        <v/>
      </c>
      <c r="BK19" s="41">
        <f>T19/(Parameter!$C$8*E19)</f>
        <v/>
      </c>
      <c r="BL19" s="41">
        <f>BL18+BK19</f>
        <v/>
      </c>
    </row>
    <row r="20">
      <c r="A20" s="30">
        <f>2026+12</f>
        <v/>
      </c>
      <c r="B20" s="30">
        <f>Eingaben!$C$5+12</f>
        <v/>
      </c>
      <c r="C20" s="30">
        <f>IF(AND(B20&lt;Eingaben!$C$8,B20&lt;Eingaben!$C$6),1,0)</f>
        <v/>
      </c>
      <c r="D20" s="30">
        <f>IF(B20&lt;Eingaben!$C$6,1,0)</f>
        <v/>
      </c>
      <c r="E20" s="38">
        <f>(1+Eingaben!$C$13)^12</f>
        <v/>
      </c>
      <c r="F20" s="38">
        <f>(1+Eingaben!$C$17)^12</f>
        <v/>
      </c>
      <c r="G20" s="39">
        <f>IF(B20&gt;=Eingaben!$C$9,Eingaben!$C$10,1)</f>
        <v/>
      </c>
      <c r="H20" s="40">
        <f>Eingaben!$C$12*E20*G20*C20</f>
        <v/>
      </c>
      <c r="I20" s="40">
        <f>Parameter!$C$4*E20</f>
        <v/>
      </c>
      <c r="J20" s="40">
        <f>Parameter!$C$5*E20</f>
        <v/>
      </c>
      <c r="K20" s="40">
        <f>MIN(H20,12*(IF(Eingaben!$C$22=2,Umrechnung!$C$54,Eingaben!$C$23))*IF(Eingaben!$C$25=1,E20,1))*C20</f>
        <v/>
      </c>
      <c r="L20" s="40">
        <f>MIN(K20,MAX(0,Parameter!$C$42*I20-P20))</f>
        <v/>
      </c>
      <c r="M20" s="40">
        <f>MIN(K20,MAX(0,Parameter!$C$43*I20-N20))</f>
        <v/>
      </c>
      <c r="N20" s="40">
        <f>C20*IF(K20/12+0.000000001&lt;Eingaben!$C$29,0,12*Eingaben!$C$27*IF(Eingaben!$C$28=1,E20,1))</f>
        <v/>
      </c>
      <c r="O20" s="40">
        <f>IF(Eingaben!$C$30=2,MIN(Eingaben!$C$26*K20,W20),Eingaben!$C$26*IF(Eingaben!$C$30=1,M20,K20))</f>
        <v/>
      </c>
      <c r="P20" s="40">
        <f>O20+N20</f>
        <v/>
      </c>
      <c r="Q20" s="40">
        <f>K20+P20</f>
        <v/>
      </c>
      <c r="R20" s="40">
        <f>MIN(Q20,Parameter!$C$42*I20)</f>
        <v/>
      </c>
      <c r="S20" s="40">
        <f>Q20-R20</f>
        <v/>
      </c>
      <c r="T20" s="40">
        <f>MIN(H20,I20)-MIN(H20-M20,I20)</f>
        <v/>
      </c>
      <c r="U20" s="40">
        <f>MIN(H20,J20)-MIN(H20-M20,J20)</f>
        <v/>
      </c>
      <c r="V20" s="40">
        <f>T20*(Parameter!$C$10+Parameter!$C$11)+U20*((Parameter!$C$12+Parameter!$C$13)/2+Parameter!$C$58)</f>
        <v/>
      </c>
      <c r="W20" s="40">
        <f>T20*(Parameter!$C$10+Parameter!$C$11)+U20*((Parameter!$C$12+Parameter!$C$13)/2+Parameter!$C$15)</f>
        <v/>
      </c>
      <c r="X20" s="40">
        <f>MIN(H20,I20)*Parameter!$C$10+MIN(H20,J20)*(0.96*(Parameter!$C$12+Parameter!$C$13)/2+Parameter!$C$58)</f>
        <v/>
      </c>
      <c r="Y20" s="40">
        <f>MIN(H20-M20,I20)*Parameter!$C$10+MIN(H20-M20,J20)*(0.96*(Parameter!$C$12+Parameter!$C$13)/2+Parameter!$C$58)</f>
        <v/>
      </c>
      <c r="Z20" s="40">
        <f>MAX(0,H20-Parameter!$C$32*F20-Parameter!$C$33-X20)</f>
        <v/>
      </c>
      <c r="AA20" s="40">
        <f>MAX(0,H20-L20-Parameter!$C$32*F20-Parameter!$C$33-Y20)</f>
        <v/>
      </c>
      <c r="AB20" s="40">
        <f>MAX(0,(Z20+IF(Eingaben!$C$14=3,Eingaben!$C$15,0))/Parameter!$C$57/F20)</f>
        <v/>
      </c>
      <c r="AC20" s="40">
        <f>Parameter!$C$57*F20*(IF(AB20&lt;=Parameter!$C$18,0,IF(AB20&lt;=Parameter!$C$19,(Parameter!$C$22*(AB20-Parameter!$C$18)/10000+Parameter!$C$23)*(AB20-Parameter!$C$18)/10000,IF(AB20&lt;=Parameter!$C$20,(Parameter!$C$24*(AB20-Parameter!$C$19)/10000+Parameter!$C$25)*(AB20-Parameter!$C$19)/10000+Parameter!$C$26,IF(AB20&lt;=Parameter!$C$21,0.42*AB20-Parameter!$C$27,0.45*AB20-Parameter!$C$28)))))</f>
        <v/>
      </c>
      <c r="AD20" s="40">
        <f>AC20+IF(AC20&lt;=(Parameter!$C$30*Parameter!$C$57*F20),0,MIN(Parameter!$C$29*AC20,Parameter!$C$31*(AC20-(Parameter!$C$30*Parameter!$C$57*F20))))+Eingaben!$C$16*AC20</f>
        <v/>
      </c>
      <c r="AE20" s="40">
        <f>MAX(0,(AA20+IF(Eingaben!$C$14=3,Eingaben!$C$15,0))/Parameter!$C$57/F20)</f>
        <v/>
      </c>
      <c r="AF20" s="40">
        <f>Parameter!$C$57*F20*(IF(AE20&lt;=Parameter!$C$18,0,IF(AE20&lt;=Parameter!$C$19,(Parameter!$C$22*(AE20-Parameter!$C$18)/10000+Parameter!$C$23)*(AE20-Parameter!$C$18)/10000,IF(AE20&lt;=Parameter!$C$20,(Parameter!$C$24*(AE20-Parameter!$C$19)/10000+Parameter!$C$25)*(AE20-Parameter!$C$19)/10000+Parameter!$C$26,IF(AE20&lt;=Parameter!$C$21,0.42*AE20-Parameter!$C$27,0.45*AE20-Parameter!$C$28)))))</f>
        <v/>
      </c>
      <c r="AG20" s="40">
        <f>AF20+IF(AF20&lt;=(Parameter!$C$30*Parameter!$C$57*F20),0,MIN(Parameter!$C$29*AF20,Parameter!$C$31*(AF20-(Parameter!$C$30*Parameter!$C$57*F20))))+Eingaben!$C$16*AF20</f>
        <v/>
      </c>
      <c r="AH20" s="40">
        <f>AD20-AG20</f>
        <v/>
      </c>
      <c r="AI20" s="40">
        <f>MAX(0,K20-V20-AH20)</f>
        <v/>
      </c>
      <c r="AJ20" s="40">
        <f>MIN(AI20,Parameter!$C$49)</f>
        <v/>
      </c>
      <c r="AK20" s="40">
        <f>Parameter!$C$44*MIN(AJ20,Parameter!$C$45)+Parameter!$C$46*MAX(0,MIN(AJ20,Parameter!$C$47)-Parameter!$C$45)</f>
        <v/>
      </c>
      <c r="AL20" s="40">
        <f>MIN(AJ20,Parameter!$C$48)*Eingaben!$C$18*IF(12&lt;Eingaben!$C$19,1,0)</f>
        <v/>
      </c>
      <c r="AM20" s="40">
        <f>MIN(AK20+AL20,MAX(0,Parameter!$C$49-AJ20))</f>
        <v/>
      </c>
      <c r="AN20" s="40">
        <f>MIN(MIN(AJ20,Parameter!$C$47)+AM20,Parameter!$C$50)</f>
        <v/>
      </c>
      <c r="AO20" s="40">
        <f>MAX(0,Z20-AN20)</f>
        <v/>
      </c>
      <c r="AP20" s="40">
        <f>MAX(0,(AO20+IF(Eingaben!$C$14=3,Eingaben!$C$15,0))/Parameter!$C$57/F20)</f>
        <v/>
      </c>
      <c r="AQ20" s="40">
        <f>Parameter!$C$57*F20*(IF(AP20&lt;=Parameter!$C$18,0,IF(AP20&lt;=Parameter!$C$19,(Parameter!$C$22*(AP20-Parameter!$C$18)/10000+Parameter!$C$23)*(AP20-Parameter!$C$18)/10000,IF(AP20&lt;=Parameter!$C$20,(Parameter!$C$24*(AP20-Parameter!$C$19)/10000+Parameter!$C$25)*(AP20-Parameter!$C$19)/10000+Parameter!$C$26,IF(AP20&lt;=Parameter!$C$21,0.42*AP20-Parameter!$C$27,0.45*AP20-Parameter!$C$28)))))</f>
        <v/>
      </c>
      <c r="AR20" s="40">
        <f>AQ20+IF(AQ20&lt;=(Parameter!$C$30*Parameter!$C$57*F20),0,MIN(Parameter!$C$29*AQ20,Parameter!$C$31*(AQ20-(Parameter!$C$30*Parameter!$C$57*F20))))+Eingaben!$C$16*AQ20</f>
        <v/>
      </c>
      <c r="AS20" s="40">
        <f>AD20-AR20</f>
        <v/>
      </c>
      <c r="AT20" s="40">
        <f>MAX(0,AS20-AM20)</f>
        <v/>
      </c>
      <c r="AU20" s="40">
        <f>MIN(AJ20,Parameter!$C$47)+AM20</f>
        <v/>
      </c>
      <c r="AV20" s="40">
        <f>MAX(0,AJ20-Parameter!$C$47)+AT19</f>
        <v/>
      </c>
      <c r="AW20" s="40">
        <f>MAX(0,AI20-Parameter!$C$49)</f>
        <v/>
      </c>
      <c r="AX20" s="40">
        <f>AI20</f>
        <v/>
      </c>
      <c r="AY20" s="40">
        <f>IF(D20=0,AY19,AY19*(1+Parameter!$C$60)+R20*(1+Parameter!$C$60)^0.5)</f>
        <v/>
      </c>
      <c r="AZ20" s="40">
        <f>IF(D20=0,AZ19,AZ19*(1+Parameter!$C$60)+S20*(1+Parameter!$C$60)^0.5)</f>
        <v/>
      </c>
      <c r="BA20" s="40">
        <f>IF(D20=0,BA19,BA19*(1+Parameter!$C$61)+AU20*(1+Parameter!$C$61)^0.5)</f>
        <v/>
      </c>
      <c r="BB20" s="40">
        <f>IF(D20=0,BB19,BB19*(1+Parameter!$C$61)+AV20*(1+Parameter!$C$61)^0.5)</f>
        <v/>
      </c>
      <c r="BC20" s="40">
        <f>IF(D20=0,BC19,BC19*(1+Parameter!$C$62)+AW20*(1+Parameter!$C$62)^0.5-BF20)</f>
        <v/>
      </c>
      <c r="BD20" s="40">
        <f>IF(D20=0,BD19,BD19+AW20+BE20)</f>
        <v/>
      </c>
      <c r="BE20" s="40">
        <f>MAX(0,MIN(BC19*(1+Parameter!$C$62)+AW20*(1+Parameter!$C$62)^0.5-BC19-AW20,BC19*Parameter!$C$39*Parameter!$C$40))</f>
        <v/>
      </c>
      <c r="BF20" s="40">
        <f>MAX(0,BE20*(1-Parameter!$C$37)-Parameter!$C$67)*Parameter!$C$36</f>
        <v/>
      </c>
      <c r="BG20" s="40">
        <f>IF(D20=0,BG19,BG19*(1+Parameter!$C$62)+AX20*(1+Parameter!$C$62)^0.5-BJ20)</f>
        <v/>
      </c>
      <c r="BH20" s="40">
        <f>IF(D20=0,BH19,BH19+AX20+BI20)</f>
        <v/>
      </c>
      <c r="BI20" s="40">
        <f>MAX(0,MIN(BG19*(1+Parameter!$C$62)+AX20*(1+Parameter!$C$62)^0.5-BG19-AX20,BG19*Parameter!$C$39*Parameter!$C$40))</f>
        <v/>
      </c>
      <c r="BJ20" s="40">
        <f>MAX(0,BI20*(1-Parameter!$C$37)-Parameter!$C$67)*Parameter!$C$36</f>
        <v/>
      </c>
      <c r="BK20" s="38">
        <f>T20/(Parameter!$C$8*E20)</f>
        <v/>
      </c>
      <c r="BL20" s="38">
        <f>BL19+BK20</f>
        <v/>
      </c>
    </row>
    <row r="21">
      <c r="A21" s="32">
        <f>2026+13</f>
        <v/>
      </c>
      <c r="B21" s="32">
        <f>Eingaben!$C$5+13</f>
        <v/>
      </c>
      <c r="C21" s="32">
        <f>IF(AND(B21&lt;Eingaben!$C$8,B21&lt;Eingaben!$C$6),1,0)</f>
        <v/>
      </c>
      <c r="D21" s="32">
        <f>IF(B21&lt;Eingaben!$C$6,1,0)</f>
        <v/>
      </c>
      <c r="E21" s="41">
        <f>(1+Eingaben!$C$13)^13</f>
        <v/>
      </c>
      <c r="F21" s="41">
        <f>(1+Eingaben!$C$17)^13</f>
        <v/>
      </c>
      <c r="G21" s="42">
        <f>IF(B21&gt;=Eingaben!$C$9,Eingaben!$C$10,1)</f>
        <v/>
      </c>
      <c r="H21" s="43">
        <f>Eingaben!$C$12*E21*G21*C21</f>
        <v/>
      </c>
      <c r="I21" s="43">
        <f>Parameter!$C$4*E21</f>
        <v/>
      </c>
      <c r="J21" s="43">
        <f>Parameter!$C$5*E21</f>
        <v/>
      </c>
      <c r="K21" s="43">
        <f>MIN(H21,12*(IF(Eingaben!$C$22=2,Umrechnung!$C$54,Eingaben!$C$23))*IF(Eingaben!$C$25=1,E21,1))*C21</f>
        <v/>
      </c>
      <c r="L21" s="43">
        <f>MIN(K21,MAX(0,Parameter!$C$42*I21-P21))</f>
        <v/>
      </c>
      <c r="M21" s="43">
        <f>MIN(K21,MAX(0,Parameter!$C$43*I21-N21))</f>
        <v/>
      </c>
      <c r="N21" s="43">
        <f>C21*IF(K21/12+0.000000001&lt;Eingaben!$C$29,0,12*Eingaben!$C$27*IF(Eingaben!$C$28=1,E21,1))</f>
        <v/>
      </c>
      <c r="O21" s="43">
        <f>IF(Eingaben!$C$30=2,MIN(Eingaben!$C$26*K21,W21),Eingaben!$C$26*IF(Eingaben!$C$30=1,M21,K21))</f>
        <v/>
      </c>
      <c r="P21" s="43">
        <f>O21+N21</f>
        <v/>
      </c>
      <c r="Q21" s="43">
        <f>K21+P21</f>
        <v/>
      </c>
      <c r="R21" s="43">
        <f>MIN(Q21,Parameter!$C$42*I21)</f>
        <v/>
      </c>
      <c r="S21" s="43">
        <f>Q21-R21</f>
        <v/>
      </c>
      <c r="T21" s="43">
        <f>MIN(H21,I21)-MIN(H21-M21,I21)</f>
        <v/>
      </c>
      <c r="U21" s="43">
        <f>MIN(H21,J21)-MIN(H21-M21,J21)</f>
        <v/>
      </c>
      <c r="V21" s="43">
        <f>T21*(Parameter!$C$10+Parameter!$C$11)+U21*((Parameter!$C$12+Parameter!$C$13)/2+Parameter!$C$58)</f>
        <v/>
      </c>
      <c r="W21" s="43">
        <f>T21*(Parameter!$C$10+Parameter!$C$11)+U21*((Parameter!$C$12+Parameter!$C$13)/2+Parameter!$C$15)</f>
        <v/>
      </c>
      <c r="X21" s="43">
        <f>MIN(H21,I21)*Parameter!$C$10+MIN(H21,J21)*(0.96*(Parameter!$C$12+Parameter!$C$13)/2+Parameter!$C$58)</f>
        <v/>
      </c>
      <c r="Y21" s="43">
        <f>MIN(H21-M21,I21)*Parameter!$C$10+MIN(H21-M21,J21)*(0.96*(Parameter!$C$12+Parameter!$C$13)/2+Parameter!$C$58)</f>
        <v/>
      </c>
      <c r="Z21" s="43">
        <f>MAX(0,H21-Parameter!$C$32*F21-Parameter!$C$33-X21)</f>
        <v/>
      </c>
      <c r="AA21" s="43">
        <f>MAX(0,H21-L21-Parameter!$C$32*F21-Parameter!$C$33-Y21)</f>
        <v/>
      </c>
      <c r="AB21" s="43">
        <f>MAX(0,(Z21+IF(Eingaben!$C$14=3,Eingaben!$C$15,0))/Parameter!$C$57/F21)</f>
        <v/>
      </c>
      <c r="AC21" s="43">
        <f>Parameter!$C$57*F21*(IF(AB21&lt;=Parameter!$C$18,0,IF(AB21&lt;=Parameter!$C$19,(Parameter!$C$22*(AB21-Parameter!$C$18)/10000+Parameter!$C$23)*(AB21-Parameter!$C$18)/10000,IF(AB21&lt;=Parameter!$C$20,(Parameter!$C$24*(AB21-Parameter!$C$19)/10000+Parameter!$C$25)*(AB21-Parameter!$C$19)/10000+Parameter!$C$26,IF(AB21&lt;=Parameter!$C$21,0.42*AB21-Parameter!$C$27,0.45*AB21-Parameter!$C$28)))))</f>
        <v/>
      </c>
      <c r="AD21" s="43">
        <f>AC21+IF(AC21&lt;=(Parameter!$C$30*Parameter!$C$57*F21),0,MIN(Parameter!$C$29*AC21,Parameter!$C$31*(AC21-(Parameter!$C$30*Parameter!$C$57*F21))))+Eingaben!$C$16*AC21</f>
        <v/>
      </c>
      <c r="AE21" s="43">
        <f>MAX(0,(AA21+IF(Eingaben!$C$14=3,Eingaben!$C$15,0))/Parameter!$C$57/F21)</f>
        <v/>
      </c>
      <c r="AF21" s="43">
        <f>Parameter!$C$57*F21*(IF(AE21&lt;=Parameter!$C$18,0,IF(AE21&lt;=Parameter!$C$19,(Parameter!$C$22*(AE21-Parameter!$C$18)/10000+Parameter!$C$23)*(AE21-Parameter!$C$18)/10000,IF(AE21&lt;=Parameter!$C$20,(Parameter!$C$24*(AE21-Parameter!$C$19)/10000+Parameter!$C$25)*(AE21-Parameter!$C$19)/10000+Parameter!$C$26,IF(AE21&lt;=Parameter!$C$21,0.42*AE21-Parameter!$C$27,0.45*AE21-Parameter!$C$28)))))</f>
        <v/>
      </c>
      <c r="AG21" s="43">
        <f>AF21+IF(AF21&lt;=(Parameter!$C$30*Parameter!$C$57*F21),0,MIN(Parameter!$C$29*AF21,Parameter!$C$31*(AF21-(Parameter!$C$30*Parameter!$C$57*F21))))+Eingaben!$C$16*AF21</f>
        <v/>
      </c>
      <c r="AH21" s="43">
        <f>AD21-AG21</f>
        <v/>
      </c>
      <c r="AI21" s="43">
        <f>MAX(0,K21-V21-AH21)</f>
        <v/>
      </c>
      <c r="AJ21" s="43">
        <f>MIN(AI21,Parameter!$C$49)</f>
        <v/>
      </c>
      <c r="AK21" s="43">
        <f>Parameter!$C$44*MIN(AJ21,Parameter!$C$45)+Parameter!$C$46*MAX(0,MIN(AJ21,Parameter!$C$47)-Parameter!$C$45)</f>
        <v/>
      </c>
      <c r="AL21" s="43">
        <f>MIN(AJ21,Parameter!$C$48)*Eingaben!$C$18*IF(13&lt;Eingaben!$C$19,1,0)</f>
        <v/>
      </c>
      <c r="AM21" s="43">
        <f>MIN(AK21+AL21,MAX(0,Parameter!$C$49-AJ21))</f>
        <v/>
      </c>
      <c r="AN21" s="43">
        <f>MIN(MIN(AJ21,Parameter!$C$47)+AM21,Parameter!$C$50)</f>
        <v/>
      </c>
      <c r="AO21" s="43">
        <f>MAX(0,Z21-AN21)</f>
        <v/>
      </c>
      <c r="AP21" s="43">
        <f>MAX(0,(AO21+IF(Eingaben!$C$14=3,Eingaben!$C$15,0))/Parameter!$C$57/F21)</f>
        <v/>
      </c>
      <c r="AQ21" s="43">
        <f>Parameter!$C$57*F21*(IF(AP21&lt;=Parameter!$C$18,0,IF(AP21&lt;=Parameter!$C$19,(Parameter!$C$22*(AP21-Parameter!$C$18)/10000+Parameter!$C$23)*(AP21-Parameter!$C$18)/10000,IF(AP21&lt;=Parameter!$C$20,(Parameter!$C$24*(AP21-Parameter!$C$19)/10000+Parameter!$C$25)*(AP21-Parameter!$C$19)/10000+Parameter!$C$26,IF(AP21&lt;=Parameter!$C$21,0.42*AP21-Parameter!$C$27,0.45*AP21-Parameter!$C$28)))))</f>
        <v/>
      </c>
      <c r="AR21" s="43">
        <f>AQ21+IF(AQ21&lt;=(Parameter!$C$30*Parameter!$C$57*F21),0,MIN(Parameter!$C$29*AQ21,Parameter!$C$31*(AQ21-(Parameter!$C$30*Parameter!$C$57*F21))))+Eingaben!$C$16*AQ21</f>
        <v/>
      </c>
      <c r="AS21" s="43">
        <f>AD21-AR21</f>
        <v/>
      </c>
      <c r="AT21" s="43">
        <f>MAX(0,AS21-AM21)</f>
        <v/>
      </c>
      <c r="AU21" s="43">
        <f>MIN(AJ21,Parameter!$C$47)+AM21</f>
        <v/>
      </c>
      <c r="AV21" s="43">
        <f>MAX(0,AJ21-Parameter!$C$47)+AT20</f>
        <v/>
      </c>
      <c r="AW21" s="43">
        <f>MAX(0,AI21-Parameter!$C$49)</f>
        <v/>
      </c>
      <c r="AX21" s="43">
        <f>AI21</f>
        <v/>
      </c>
      <c r="AY21" s="43">
        <f>IF(D21=0,AY20,AY20*(1+Parameter!$C$60)+R21*(1+Parameter!$C$60)^0.5)</f>
        <v/>
      </c>
      <c r="AZ21" s="43">
        <f>IF(D21=0,AZ20,AZ20*(1+Parameter!$C$60)+S21*(1+Parameter!$C$60)^0.5)</f>
        <v/>
      </c>
      <c r="BA21" s="43">
        <f>IF(D21=0,BA20,BA20*(1+Parameter!$C$61)+AU21*(1+Parameter!$C$61)^0.5)</f>
        <v/>
      </c>
      <c r="BB21" s="43">
        <f>IF(D21=0,BB20,BB20*(1+Parameter!$C$61)+AV21*(1+Parameter!$C$61)^0.5)</f>
        <v/>
      </c>
      <c r="BC21" s="43">
        <f>IF(D21=0,BC20,BC20*(1+Parameter!$C$62)+AW21*(1+Parameter!$C$62)^0.5-BF21)</f>
        <v/>
      </c>
      <c r="BD21" s="43">
        <f>IF(D21=0,BD20,BD20+AW21+BE21)</f>
        <v/>
      </c>
      <c r="BE21" s="43">
        <f>MAX(0,MIN(BC20*(1+Parameter!$C$62)+AW21*(1+Parameter!$C$62)^0.5-BC20-AW21,BC20*Parameter!$C$39*Parameter!$C$40))</f>
        <v/>
      </c>
      <c r="BF21" s="43">
        <f>MAX(0,BE21*(1-Parameter!$C$37)-Parameter!$C$67)*Parameter!$C$36</f>
        <v/>
      </c>
      <c r="BG21" s="43">
        <f>IF(D21=0,BG20,BG20*(1+Parameter!$C$62)+AX21*(1+Parameter!$C$62)^0.5-BJ21)</f>
        <v/>
      </c>
      <c r="BH21" s="43">
        <f>IF(D21=0,BH20,BH20+AX21+BI21)</f>
        <v/>
      </c>
      <c r="BI21" s="43">
        <f>MAX(0,MIN(BG20*(1+Parameter!$C$62)+AX21*(1+Parameter!$C$62)^0.5-BG20-AX21,BG20*Parameter!$C$39*Parameter!$C$40))</f>
        <v/>
      </c>
      <c r="BJ21" s="43">
        <f>MAX(0,BI21*(1-Parameter!$C$37)-Parameter!$C$67)*Parameter!$C$36</f>
        <v/>
      </c>
      <c r="BK21" s="41">
        <f>T21/(Parameter!$C$8*E21)</f>
        <v/>
      </c>
      <c r="BL21" s="41">
        <f>BL20+BK21</f>
        <v/>
      </c>
    </row>
    <row r="22">
      <c r="A22" s="30">
        <f>2026+14</f>
        <v/>
      </c>
      <c r="B22" s="30">
        <f>Eingaben!$C$5+14</f>
        <v/>
      </c>
      <c r="C22" s="30">
        <f>IF(AND(B22&lt;Eingaben!$C$8,B22&lt;Eingaben!$C$6),1,0)</f>
        <v/>
      </c>
      <c r="D22" s="30">
        <f>IF(B22&lt;Eingaben!$C$6,1,0)</f>
        <v/>
      </c>
      <c r="E22" s="38">
        <f>(1+Eingaben!$C$13)^14</f>
        <v/>
      </c>
      <c r="F22" s="38">
        <f>(1+Eingaben!$C$17)^14</f>
        <v/>
      </c>
      <c r="G22" s="39">
        <f>IF(B22&gt;=Eingaben!$C$9,Eingaben!$C$10,1)</f>
        <v/>
      </c>
      <c r="H22" s="40">
        <f>Eingaben!$C$12*E22*G22*C22</f>
        <v/>
      </c>
      <c r="I22" s="40">
        <f>Parameter!$C$4*E22</f>
        <v/>
      </c>
      <c r="J22" s="40">
        <f>Parameter!$C$5*E22</f>
        <v/>
      </c>
      <c r="K22" s="40">
        <f>MIN(H22,12*(IF(Eingaben!$C$22=2,Umrechnung!$C$54,Eingaben!$C$23))*IF(Eingaben!$C$25=1,E22,1))*C22</f>
        <v/>
      </c>
      <c r="L22" s="40">
        <f>MIN(K22,MAX(0,Parameter!$C$42*I22-P22))</f>
        <v/>
      </c>
      <c r="M22" s="40">
        <f>MIN(K22,MAX(0,Parameter!$C$43*I22-N22))</f>
        <v/>
      </c>
      <c r="N22" s="40">
        <f>C22*IF(K22/12+0.000000001&lt;Eingaben!$C$29,0,12*Eingaben!$C$27*IF(Eingaben!$C$28=1,E22,1))</f>
        <v/>
      </c>
      <c r="O22" s="40">
        <f>IF(Eingaben!$C$30=2,MIN(Eingaben!$C$26*K22,W22),Eingaben!$C$26*IF(Eingaben!$C$30=1,M22,K22))</f>
        <v/>
      </c>
      <c r="P22" s="40">
        <f>O22+N22</f>
        <v/>
      </c>
      <c r="Q22" s="40">
        <f>K22+P22</f>
        <v/>
      </c>
      <c r="R22" s="40">
        <f>MIN(Q22,Parameter!$C$42*I22)</f>
        <v/>
      </c>
      <c r="S22" s="40">
        <f>Q22-R22</f>
        <v/>
      </c>
      <c r="T22" s="40">
        <f>MIN(H22,I22)-MIN(H22-M22,I22)</f>
        <v/>
      </c>
      <c r="U22" s="40">
        <f>MIN(H22,J22)-MIN(H22-M22,J22)</f>
        <v/>
      </c>
      <c r="V22" s="40">
        <f>T22*(Parameter!$C$10+Parameter!$C$11)+U22*((Parameter!$C$12+Parameter!$C$13)/2+Parameter!$C$58)</f>
        <v/>
      </c>
      <c r="W22" s="40">
        <f>T22*(Parameter!$C$10+Parameter!$C$11)+U22*((Parameter!$C$12+Parameter!$C$13)/2+Parameter!$C$15)</f>
        <v/>
      </c>
      <c r="X22" s="40">
        <f>MIN(H22,I22)*Parameter!$C$10+MIN(H22,J22)*(0.96*(Parameter!$C$12+Parameter!$C$13)/2+Parameter!$C$58)</f>
        <v/>
      </c>
      <c r="Y22" s="40">
        <f>MIN(H22-M22,I22)*Parameter!$C$10+MIN(H22-M22,J22)*(0.96*(Parameter!$C$12+Parameter!$C$13)/2+Parameter!$C$58)</f>
        <v/>
      </c>
      <c r="Z22" s="40">
        <f>MAX(0,H22-Parameter!$C$32*F22-Parameter!$C$33-X22)</f>
        <v/>
      </c>
      <c r="AA22" s="40">
        <f>MAX(0,H22-L22-Parameter!$C$32*F22-Parameter!$C$33-Y22)</f>
        <v/>
      </c>
      <c r="AB22" s="40">
        <f>MAX(0,(Z22+IF(Eingaben!$C$14=3,Eingaben!$C$15,0))/Parameter!$C$57/F22)</f>
        <v/>
      </c>
      <c r="AC22" s="40">
        <f>Parameter!$C$57*F22*(IF(AB22&lt;=Parameter!$C$18,0,IF(AB22&lt;=Parameter!$C$19,(Parameter!$C$22*(AB22-Parameter!$C$18)/10000+Parameter!$C$23)*(AB22-Parameter!$C$18)/10000,IF(AB22&lt;=Parameter!$C$20,(Parameter!$C$24*(AB22-Parameter!$C$19)/10000+Parameter!$C$25)*(AB22-Parameter!$C$19)/10000+Parameter!$C$26,IF(AB22&lt;=Parameter!$C$21,0.42*AB22-Parameter!$C$27,0.45*AB22-Parameter!$C$28)))))</f>
        <v/>
      </c>
      <c r="AD22" s="40">
        <f>AC22+IF(AC22&lt;=(Parameter!$C$30*Parameter!$C$57*F22),0,MIN(Parameter!$C$29*AC22,Parameter!$C$31*(AC22-(Parameter!$C$30*Parameter!$C$57*F22))))+Eingaben!$C$16*AC22</f>
        <v/>
      </c>
      <c r="AE22" s="40">
        <f>MAX(0,(AA22+IF(Eingaben!$C$14=3,Eingaben!$C$15,0))/Parameter!$C$57/F22)</f>
        <v/>
      </c>
      <c r="AF22" s="40">
        <f>Parameter!$C$57*F22*(IF(AE22&lt;=Parameter!$C$18,0,IF(AE22&lt;=Parameter!$C$19,(Parameter!$C$22*(AE22-Parameter!$C$18)/10000+Parameter!$C$23)*(AE22-Parameter!$C$18)/10000,IF(AE22&lt;=Parameter!$C$20,(Parameter!$C$24*(AE22-Parameter!$C$19)/10000+Parameter!$C$25)*(AE22-Parameter!$C$19)/10000+Parameter!$C$26,IF(AE22&lt;=Parameter!$C$21,0.42*AE22-Parameter!$C$27,0.45*AE22-Parameter!$C$28)))))</f>
        <v/>
      </c>
      <c r="AG22" s="40">
        <f>AF22+IF(AF22&lt;=(Parameter!$C$30*Parameter!$C$57*F22),0,MIN(Parameter!$C$29*AF22,Parameter!$C$31*(AF22-(Parameter!$C$30*Parameter!$C$57*F22))))+Eingaben!$C$16*AF22</f>
        <v/>
      </c>
      <c r="AH22" s="40">
        <f>AD22-AG22</f>
        <v/>
      </c>
      <c r="AI22" s="40">
        <f>MAX(0,K22-V22-AH22)</f>
        <v/>
      </c>
      <c r="AJ22" s="40">
        <f>MIN(AI22,Parameter!$C$49)</f>
        <v/>
      </c>
      <c r="AK22" s="40">
        <f>Parameter!$C$44*MIN(AJ22,Parameter!$C$45)+Parameter!$C$46*MAX(0,MIN(AJ22,Parameter!$C$47)-Parameter!$C$45)</f>
        <v/>
      </c>
      <c r="AL22" s="40">
        <f>MIN(AJ22,Parameter!$C$48)*Eingaben!$C$18*IF(14&lt;Eingaben!$C$19,1,0)</f>
        <v/>
      </c>
      <c r="AM22" s="40">
        <f>MIN(AK22+AL22,MAX(0,Parameter!$C$49-AJ22))</f>
        <v/>
      </c>
      <c r="AN22" s="40">
        <f>MIN(MIN(AJ22,Parameter!$C$47)+AM22,Parameter!$C$50)</f>
        <v/>
      </c>
      <c r="AO22" s="40">
        <f>MAX(0,Z22-AN22)</f>
        <v/>
      </c>
      <c r="AP22" s="40">
        <f>MAX(0,(AO22+IF(Eingaben!$C$14=3,Eingaben!$C$15,0))/Parameter!$C$57/F22)</f>
        <v/>
      </c>
      <c r="AQ22" s="40">
        <f>Parameter!$C$57*F22*(IF(AP22&lt;=Parameter!$C$18,0,IF(AP22&lt;=Parameter!$C$19,(Parameter!$C$22*(AP22-Parameter!$C$18)/10000+Parameter!$C$23)*(AP22-Parameter!$C$18)/10000,IF(AP22&lt;=Parameter!$C$20,(Parameter!$C$24*(AP22-Parameter!$C$19)/10000+Parameter!$C$25)*(AP22-Parameter!$C$19)/10000+Parameter!$C$26,IF(AP22&lt;=Parameter!$C$21,0.42*AP22-Parameter!$C$27,0.45*AP22-Parameter!$C$28)))))</f>
        <v/>
      </c>
      <c r="AR22" s="40">
        <f>AQ22+IF(AQ22&lt;=(Parameter!$C$30*Parameter!$C$57*F22),0,MIN(Parameter!$C$29*AQ22,Parameter!$C$31*(AQ22-(Parameter!$C$30*Parameter!$C$57*F22))))+Eingaben!$C$16*AQ22</f>
        <v/>
      </c>
      <c r="AS22" s="40">
        <f>AD22-AR22</f>
        <v/>
      </c>
      <c r="AT22" s="40">
        <f>MAX(0,AS22-AM22)</f>
        <v/>
      </c>
      <c r="AU22" s="40">
        <f>MIN(AJ22,Parameter!$C$47)+AM22</f>
        <v/>
      </c>
      <c r="AV22" s="40">
        <f>MAX(0,AJ22-Parameter!$C$47)+AT21</f>
        <v/>
      </c>
      <c r="AW22" s="40">
        <f>MAX(0,AI22-Parameter!$C$49)</f>
        <v/>
      </c>
      <c r="AX22" s="40">
        <f>AI22</f>
        <v/>
      </c>
      <c r="AY22" s="40">
        <f>IF(D22=0,AY21,AY21*(1+Parameter!$C$60)+R22*(1+Parameter!$C$60)^0.5)</f>
        <v/>
      </c>
      <c r="AZ22" s="40">
        <f>IF(D22=0,AZ21,AZ21*(1+Parameter!$C$60)+S22*(1+Parameter!$C$60)^0.5)</f>
        <v/>
      </c>
      <c r="BA22" s="40">
        <f>IF(D22=0,BA21,BA21*(1+Parameter!$C$61)+AU22*(1+Parameter!$C$61)^0.5)</f>
        <v/>
      </c>
      <c r="BB22" s="40">
        <f>IF(D22=0,BB21,BB21*(1+Parameter!$C$61)+AV22*(1+Parameter!$C$61)^0.5)</f>
        <v/>
      </c>
      <c r="BC22" s="40">
        <f>IF(D22=0,BC21,BC21*(1+Parameter!$C$62)+AW22*(1+Parameter!$C$62)^0.5-BF22)</f>
        <v/>
      </c>
      <c r="BD22" s="40">
        <f>IF(D22=0,BD21,BD21+AW22+BE22)</f>
        <v/>
      </c>
      <c r="BE22" s="40">
        <f>MAX(0,MIN(BC21*(1+Parameter!$C$62)+AW22*(1+Parameter!$C$62)^0.5-BC21-AW22,BC21*Parameter!$C$39*Parameter!$C$40))</f>
        <v/>
      </c>
      <c r="BF22" s="40">
        <f>MAX(0,BE22*(1-Parameter!$C$37)-Parameter!$C$67)*Parameter!$C$36</f>
        <v/>
      </c>
      <c r="BG22" s="40">
        <f>IF(D22=0,BG21,BG21*(1+Parameter!$C$62)+AX22*(1+Parameter!$C$62)^0.5-BJ22)</f>
        <v/>
      </c>
      <c r="BH22" s="40">
        <f>IF(D22=0,BH21,BH21+AX22+BI22)</f>
        <v/>
      </c>
      <c r="BI22" s="40">
        <f>MAX(0,MIN(BG21*(1+Parameter!$C$62)+AX22*(1+Parameter!$C$62)^0.5-BG21-AX22,BG21*Parameter!$C$39*Parameter!$C$40))</f>
        <v/>
      </c>
      <c r="BJ22" s="40">
        <f>MAX(0,BI22*(1-Parameter!$C$37)-Parameter!$C$67)*Parameter!$C$36</f>
        <v/>
      </c>
      <c r="BK22" s="38">
        <f>T22/(Parameter!$C$8*E22)</f>
        <v/>
      </c>
      <c r="BL22" s="38">
        <f>BL21+BK22</f>
        <v/>
      </c>
    </row>
    <row r="23">
      <c r="A23" s="32">
        <f>2026+15</f>
        <v/>
      </c>
      <c r="B23" s="32">
        <f>Eingaben!$C$5+15</f>
        <v/>
      </c>
      <c r="C23" s="32">
        <f>IF(AND(B23&lt;Eingaben!$C$8,B23&lt;Eingaben!$C$6),1,0)</f>
        <v/>
      </c>
      <c r="D23" s="32">
        <f>IF(B23&lt;Eingaben!$C$6,1,0)</f>
        <v/>
      </c>
      <c r="E23" s="41">
        <f>(1+Eingaben!$C$13)^15</f>
        <v/>
      </c>
      <c r="F23" s="41">
        <f>(1+Eingaben!$C$17)^15</f>
        <v/>
      </c>
      <c r="G23" s="42">
        <f>IF(B23&gt;=Eingaben!$C$9,Eingaben!$C$10,1)</f>
        <v/>
      </c>
      <c r="H23" s="43">
        <f>Eingaben!$C$12*E23*G23*C23</f>
        <v/>
      </c>
      <c r="I23" s="43">
        <f>Parameter!$C$4*E23</f>
        <v/>
      </c>
      <c r="J23" s="43">
        <f>Parameter!$C$5*E23</f>
        <v/>
      </c>
      <c r="K23" s="43">
        <f>MIN(H23,12*(IF(Eingaben!$C$22=2,Umrechnung!$C$54,Eingaben!$C$23))*IF(Eingaben!$C$25=1,E23,1))*C23</f>
        <v/>
      </c>
      <c r="L23" s="43">
        <f>MIN(K23,MAX(0,Parameter!$C$42*I23-P23))</f>
        <v/>
      </c>
      <c r="M23" s="43">
        <f>MIN(K23,MAX(0,Parameter!$C$43*I23-N23))</f>
        <v/>
      </c>
      <c r="N23" s="43">
        <f>C23*IF(K23/12+0.000000001&lt;Eingaben!$C$29,0,12*Eingaben!$C$27*IF(Eingaben!$C$28=1,E23,1))</f>
        <v/>
      </c>
      <c r="O23" s="43">
        <f>IF(Eingaben!$C$30=2,MIN(Eingaben!$C$26*K23,W23),Eingaben!$C$26*IF(Eingaben!$C$30=1,M23,K23))</f>
        <v/>
      </c>
      <c r="P23" s="43">
        <f>O23+N23</f>
        <v/>
      </c>
      <c r="Q23" s="43">
        <f>K23+P23</f>
        <v/>
      </c>
      <c r="R23" s="43">
        <f>MIN(Q23,Parameter!$C$42*I23)</f>
        <v/>
      </c>
      <c r="S23" s="43">
        <f>Q23-R23</f>
        <v/>
      </c>
      <c r="T23" s="43">
        <f>MIN(H23,I23)-MIN(H23-M23,I23)</f>
        <v/>
      </c>
      <c r="U23" s="43">
        <f>MIN(H23,J23)-MIN(H23-M23,J23)</f>
        <v/>
      </c>
      <c r="V23" s="43">
        <f>T23*(Parameter!$C$10+Parameter!$C$11)+U23*((Parameter!$C$12+Parameter!$C$13)/2+Parameter!$C$58)</f>
        <v/>
      </c>
      <c r="W23" s="43">
        <f>T23*(Parameter!$C$10+Parameter!$C$11)+U23*((Parameter!$C$12+Parameter!$C$13)/2+Parameter!$C$15)</f>
        <v/>
      </c>
      <c r="X23" s="43">
        <f>MIN(H23,I23)*Parameter!$C$10+MIN(H23,J23)*(0.96*(Parameter!$C$12+Parameter!$C$13)/2+Parameter!$C$58)</f>
        <v/>
      </c>
      <c r="Y23" s="43">
        <f>MIN(H23-M23,I23)*Parameter!$C$10+MIN(H23-M23,J23)*(0.96*(Parameter!$C$12+Parameter!$C$13)/2+Parameter!$C$58)</f>
        <v/>
      </c>
      <c r="Z23" s="43">
        <f>MAX(0,H23-Parameter!$C$32*F23-Parameter!$C$33-X23)</f>
        <v/>
      </c>
      <c r="AA23" s="43">
        <f>MAX(0,H23-L23-Parameter!$C$32*F23-Parameter!$C$33-Y23)</f>
        <v/>
      </c>
      <c r="AB23" s="43">
        <f>MAX(0,(Z23+IF(Eingaben!$C$14=3,Eingaben!$C$15,0))/Parameter!$C$57/F23)</f>
        <v/>
      </c>
      <c r="AC23" s="43">
        <f>Parameter!$C$57*F23*(IF(AB23&lt;=Parameter!$C$18,0,IF(AB23&lt;=Parameter!$C$19,(Parameter!$C$22*(AB23-Parameter!$C$18)/10000+Parameter!$C$23)*(AB23-Parameter!$C$18)/10000,IF(AB23&lt;=Parameter!$C$20,(Parameter!$C$24*(AB23-Parameter!$C$19)/10000+Parameter!$C$25)*(AB23-Parameter!$C$19)/10000+Parameter!$C$26,IF(AB23&lt;=Parameter!$C$21,0.42*AB23-Parameter!$C$27,0.45*AB23-Parameter!$C$28)))))</f>
        <v/>
      </c>
      <c r="AD23" s="43">
        <f>AC23+IF(AC23&lt;=(Parameter!$C$30*Parameter!$C$57*F23),0,MIN(Parameter!$C$29*AC23,Parameter!$C$31*(AC23-(Parameter!$C$30*Parameter!$C$57*F23))))+Eingaben!$C$16*AC23</f>
        <v/>
      </c>
      <c r="AE23" s="43">
        <f>MAX(0,(AA23+IF(Eingaben!$C$14=3,Eingaben!$C$15,0))/Parameter!$C$57/F23)</f>
        <v/>
      </c>
      <c r="AF23" s="43">
        <f>Parameter!$C$57*F23*(IF(AE23&lt;=Parameter!$C$18,0,IF(AE23&lt;=Parameter!$C$19,(Parameter!$C$22*(AE23-Parameter!$C$18)/10000+Parameter!$C$23)*(AE23-Parameter!$C$18)/10000,IF(AE23&lt;=Parameter!$C$20,(Parameter!$C$24*(AE23-Parameter!$C$19)/10000+Parameter!$C$25)*(AE23-Parameter!$C$19)/10000+Parameter!$C$26,IF(AE23&lt;=Parameter!$C$21,0.42*AE23-Parameter!$C$27,0.45*AE23-Parameter!$C$28)))))</f>
        <v/>
      </c>
      <c r="AG23" s="43">
        <f>AF23+IF(AF23&lt;=(Parameter!$C$30*Parameter!$C$57*F23),0,MIN(Parameter!$C$29*AF23,Parameter!$C$31*(AF23-(Parameter!$C$30*Parameter!$C$57*F23))))+Eingaben!$C$16*AF23</f>
        <v/>
      </c>
      <c r="AH23" s="43">
        <f>AD23-AG23</f>
        <v/>
      </c>
      <c r="AI23" s="43">
        <f>MAX(0,K23-V23-AH23)</f>
        <v/>
      </c>
      <c r="AJ23" s="43">
        <f>MIN(AI23,Parameter!$C$49)</f>
        <v/>
      </c>
      <c r="AK23" s="43">
        <f>Parameter!$C$44*MIN(AJ23,Parameter!$C$45)+Parameter!$C$46*MAX(0,MIN(AJ23,Parameter!$C$47)-Parameter!$C$45)</f>
        <v/>
      </c>
      <c r="AL23" s="43">
        <f>MIN(AJ23,Parameter!$C$48)*Eingaben!$C$18*IF(15&lt;Eingaben!$C$19,1,0)</f>
        <v/>
      </c>
      <c r="AM23" s="43">
        <f>MIN(AK23+AL23,MAX(0,Parameter!$C$49-AJ23))</f>
        <v/>
      </c>
      <c r="AN23" s="43">
        <f>MIN(MIN(AJ23,Parameter!$C$47)+AM23,Parameter!$C$50)</f>
        <v/>
      </c>
      <c r="AO23" s="43">
        <f>MAX(0,Z23-AN23)</f>
        <v/>
      </c>
      <c r="AP23" s="43">
        <f>MAX(0,(AO23+IF(Eingaben!$C$14=3,Eingaben!$C$15,0))/Parameter!$C$57/F23)</f>
        <v/>
      </c>
      <c r="AQ23" s="43">
        <f>Parameter!$C$57*F23*(IF(AP23&lt;=Parameter!$C$18,0,IF(AP23&lt;=Parameter!$C$19,(Parameter!$C$22*(AP23-Parameter!$C$18)/10000+Parameter!$C$23)*(AP23-Parameter!$C$18)/10000,IF(AP23&lt;=Parameter!$C$20,(Parameter!$C$24*(AP23-Parameter!$C$19)/10000+Parameter!$C$25)*(AP23-Parameter!$C$19)/10000+Parameter!$C$26,IF(AP23&lt;=Parameter!$C$21,0.42*AP23-Parameter!$C$27,0.45*AP23-Parameter!$C$28)))))</f>
        <v/>
      </c>
      <c r="AR23" s="43">
        <f>AQ23+IF(AQ23&lt;=(Parameter!$C$30*Parameter!$C$57*F23),0,MIN(Parameter!$C$29*AQ23,Parameter!$C$31*(AQ23-(Parameter!$C$30*Parameter!$C$57*F23))))+Eingaben!$C$16*AQ23</f>
        <v/>
      </c>
      <c r="AS23" s="43">
        <f>AD23-AR23</f>
        <v/>
      </c>
      <c r="AT23" s="43">
        <f>MAX(0,AS23-AM23)</f>
        <v/>
      </c>
      <c r="AU23" s="43">
        <f>MIN(AJ23,Parameter!$C$47)+AM23</f>
        <v/>
      </c>
      <c r="AV23" s="43">
        <f>MAX(0,AJ23-Parameter!$C$47)+AT22</f>
        <v/>
      </c>
      <c r="AW23" s="43">
        <f>MAX(0,AI23-Parameter!$C$49)</f>
        <v/>
      </c>
      <c r="AX23" s="43">
        <f>AI23</f>
        <v/>
      </c>
      <c r="AY23" s="43">
        <f>IF(D23=0,AY22,AY22*(1+Parameter!$C$60)+R23*(1+Parameter!$C$60)^0.5)</f>
        <v/>
      </c>
      <c r="AZ23" s="43">
        <f>IF(D23=0,AZ22,AZ22*(1+Parameter!$C$60)+S23*(1+Parameter!$C$60)^0.5)</f>
        <v/>
      </c>
      <c r="BA23" s="43">
        <f>IF(D23=0,BA22,BA22*(1+Parameter!$C$61)+AU23*(1+Parameter!$C$61)^0.5)</f>
        <v/>
      </c>
      <c r="BB23" s="43">
        <f>IF(D23=0,BB22,BB22*(1+Parameter!$C$61)+AV23*(1+Parameter!$C$61)^0.5)</f>
        <v/>
      </c>
      <c r="BC23" s="43">
        <f>IF(D23=0,BC22,BC22*(1+Parameter!$C$62)+AW23*(1+Parameter!$C$62)^0.5-BF23)</f>
        <v/>
      </c>
      <c r="BD23" s="43">
        <f>IF(D23=0,BD22,BD22+AW23+BE23)</f>
        <v/>
      </c>
      <c r="BE23" s="43">
        <f>MAX(0,MIN(BC22*(1+Parameter!$C$62)+AW23*(1+Parameter!$C$62)^0.5-BC22-AW23,BC22*Parameter!$C$39*Parameter!$C$40))</f>
        <v/>
      </c>
      <c r="BF23" s="43">
        <f>MAX(0,BE23*(1-Parameter!$C$37)-Parameter!$C$67)*Parameter!$C$36</f>
        <v/>
      </c>
      <c r="BG23" s="43">
        <f>IF(D23=0,BG22,BG22*(1+Parameter!$C$62)+AX23*(1+Parameter!$C$62)^0.5-BJ23)</f>
        <v/>
      </c>
      <c r="BH23" s="43">
        <f>IF(D23=0,BH22,BH22+AX23+BI23)</f>
        <v/>
      </c>
      <c r="BI23" s="43">
        <f>MAX(0,MIN(BG22*(1+Parameter!$C$62)+AX23*(1+Parameter!$C$62)^0.5-BG22-AX23,BG22*Parameter!$C$39*Parameter!$C$40))</f>
        <v/>
      </c>
      <c r="BJ23" s="43">
        <f>MAX(0,BI23*(1-Parameter!$C$37)-Parameter!$C$67)*Parameter!$C$36</f>
        <v/>
      </c>
      <c r="BK23" s="41">
        <f>T23/(Parameter!$C$8*E23)</f>
        <v/>
      </c>
      <c r="BL23" s="41">
        <f>BL22+BK23</f>
        <v/>
      </c>
    </row>
    <row r="24">
      <c r="A24" s="30">
        <f>2026+16</f>
        <v/>
      </c>
      <c r="B24" s="30">
        <f>Eingaben!$C$5+16</f>
        <v/>
      </c>
      <c r="C24" s="30">
        <f>IF(AND(B24&lt;Eingaben!$C$8,B24&lt;Eingaben!$C$6),1,0)</f>
        <v/>
      </c>
      <c r="D24" s="30">
        <f>IF(B24&lt;Eingaben!$C$6,1,0)</f>
        <v/>
      </c>
      <c r="E24" s="38">
        <f>(1+Eingaben!$C$13)^16</f>
        <v/>
      </c>
      <c r="F24" s="38">
        <f>(1+Eingaben!$C$17)^16</f>
        <v/>
      </c>
      <c r="G24" s="39">
        <f>IF(B24&gt;=Eingaben!$C$9,Eingaben!$C$10,1)</f>
        <v/>
      </c>
      <c r="H24" s="40">
        <f>Eingaben!$C$12*E24*G24*C24</f>
        <v/>
      </c>
      <c r="I24" s="40">
        <f>Parameter!$C$4*E24</f>
        <v/>
      </c>
      <c r="J24" s="40">
        <f>Parameter!$C$5*E24</f>
        <v/>
      </c>
      <c r="K24" s="40">
        <f>MIN(H24,12*(IF(Eingaben!$C$22=2,Umrechnung!$C$54,Eingaben!$C$23))*IF(Eingaben!$C$25=1,E24,1))*C24</f>
        <v/>
      </c>
      <c r="L24" s="40">
        <f>MIN(K24,MAX(0,Parameter!$C$42*I24-P24))</f>
        <v/>
      </c>
      <c r="M24" s="40">
        <f>MIN(K24,MAX(0,Parameter!$C$43*I24-N24))</f>
        <v/>
      </c>
      <c r="N24" s="40">
        <f>C24*IF(K24/12+0.000000001&lt;Eingaben!$C$29,0,12*Eingaben!$C$27*IF(Eingaben!$C$28=1,E24,1))</f>
        <v/>
      </c>
      <c r="O24" s="40">
        <f>IF(Eingaben!$C$30=2,MIN(Eingaben!$C$26*K24,W24),Eingaben!$C$26*IF(Eingaben!$C$30=1,M24,K24))</f>
        <v/>
      </c>
      <c r="P24" s="40">
        <f>O24+N24</f>
        <v/>
      </c>
      <c r="Q24" s="40">
        <f>K24+P24</f>
        <v/>
      </c>
      <c r="R24" s="40">
        <f>MIN(Q24,Parameter!$C$42*I24)</f>
        <v/>
      </c>
      <c r="S24" s="40">
        <f>Q24-R24</f>
        <v/>
      </c>
      <c r="T24" s="40">
        <f>MIN(H24,I24)-MIN(H24-M24,I24)</f>
        <v/>
      </c>
      <c r="U24" s="40">
        <f>MIN(H24,J24)-MIN(H24-M24,J24)</f>
        <v/>
      </c>
      <c r="V24" s="40">
        <f>T24*(Parameter!$C$10+Parameter!$C$11)+U24*((Parameter!$C$12+Parameter!$C$13)/2+Parameter!$C$58)</f>
        <v/>
      </c>
      <c r="W24" s="40">
        <f>T24*(Parameter!$C$10+Parameter!$C$11)+U24*((Parameter!$C$12+Parameter!$C$13)/2+Parameter!$C$15)</f>
        <v/>
      </c>
      <c r="X24" s="40">
        <f>MIN(H24,I24)*Parameter!$C$10+MIN(H24,J24)*(0.96*(Parameter!$C$12+Parameter!$C$13)/2+Parameter!$C$58)</f>
        <v/>
      </c>
      <c r="Y24" s="40">
        <f>MIN(H24-M24,I24)*Parameter!$C$10+MIN(H24-M24,J24)*(0.96*(Parameter!$C$12+Parameter!$C$13)/2+Parameter!$C$58)</f>
        <v/>
      </c>
      <c r="Z24" s="40">
        <f>MAX(0,H24-Parameter!$C$32*F24-Parameter!$C$33-X24)</f>
        <v/>
      </c>
      <c r="AA24" s="40">
        <f>MAX(0,H24-L24-Parameter!$C$32*F24-Parameter!$C$33-Y24)</f>
        <v/>
      </c>
      <c r="AB24" s="40">
        <f>MAX(0,(Z24+IF(Eingaben!$C$14=3,Eingaben!$C$15,0))/Parameter!$C$57/F24)</f>
        <v/>
      </c>
      <c r="AC24" s="40">
        <f>Parameter!$C$57*F24*(IF(AB24&lt;=Parameter!$C$18,0,IF(AB24&lt;=Parameter!$C$19,(Parameter!$C$22*(AB24-Parameter!$C$18)/10000+Parameter!$C$23)*(AB24-Parameter!$C$18)/10000,IF(AB24&lt;=Parameter!$C$20,(Parameter!$C$24*(AB24-Parameter!$C$19)/10000+Parameter!$C$25)*(AB24-Parameter!$C$19)/10000+Parameter!$C$26,IF(AB24&lt;=Parameter!$C$21,0.42*AB24-Parameter!$C$27,0.45*AB24-Parameter!$C$28)))))</f>
        <v/>
      </c>
      <c r="AD24" s="40">
        <f>AC24+IF(AC24&lt;=(Parameter!$C$30*Parameter!$C$57*F24),0,MIN(Parameter!$C$29*AC24,Parameter!$C$31*(AC24-(Parameter!$C$30*Parameter!$C$57*F24))))+Eingaben!$C$16*AC24</f>
        <v/>
      </c>
      <c r="AE24" s="40">
        <f>MAX(0,(AA24+IF(Eingaben!$C$14=3,Eingaben!$C$15,0))/Parameter!$C$57/F24)</f>
        <v/>
      </c>
      <c r="AF24" s="40">
        <f>Parameter!$C$57*F24*(IF(AE24&lt;=Parameter!$C$18,0,IF(AE24&lt;=Parameter!$C$19,(Parameter!$C$22*(AE24-Parameter!$C$18)/10000+Parameter!$C$23)*(AE24-Parameter!$C$18)/10000,IF(AE24&lt;=Parameter!$C$20,(Parameter!$C$24*(AE24-Parameter!$C$19)/10000+Parameter!$C$25)*(AE24-Parameter!$C$19)/10000+Parameter!$C$26,IF(AE24&lt;=Parameter!$C$21,0.42*AE24-Parameter!$C$27,0.45*AE24-Parameter!$C$28)))))</f>
        <v/>
      </c>
      <c r="AG24" s="40">
        <f>AF24+IF(AF24&lt;=(Parameter!$C$30*Parameter!$C$57*F24),0,MIN(Parameter!$C$29*AF24,Parameter!$C$31*(AF24-(Parameter!$C$30*Parameter!$C$57*F24))))+Eingaben!$C$16*AF24</f>
        <v/>
      </c>
      <c r="AH24" s="40">
        <f>AD24-AG24</f>
        <v/>
      </c>
      <c r="AI24" s="40">
        <f>MAX(0,K24-V24-AH24)</f>
        <v/>
      </c>
      <c r="AJ24" s="40">
        <f>MIN(AI24,Parameter!$C$49)</f>
        <v/>
      </c>
      <c r="AK24" s="40">
        <f>Parameter!$C$44*MIN(AJ24,Parameter!$C$45)+Parameter!$C$46*MAX(0,MIN(AJ24,Parameter!$C$47)-Parameter!$C$45)</f>
        <v/>
      </c>
      <c r="AL24" s="40">
        <f>MIN(AJ24,Parameter!$C$48)*Eingaben!$C$18*IF(16&lt;Eingaben!$C$19,1,0)</f>
        <v/>
      </c>
      <c r="AM24" s="40">
        <f>MIN(AK24+AL24,MAX(0,Parameter!$C$49-AJ24))</f>
        <v/>
      </c>
      <c r="AN24" s="40">
        <f>MIN(MIN(AJ24,Parameter!$C$47)+AM24,Parameter!$C$50)</f>
        <v/>
      </c>
      <c r="AO24" s="40">
        <f>MAX(0,Z24-AN24)</f>
        <v/>
      </c>
      <c r="AP24" s="40">
        <f>MAX(0,(AO24+IF(Eingaben!$C$14=3,Eingaben!$C$15,0))/Parameter!$C$57/F24)</f>
        <v/>
      </c>
      <c r="AQ24" s="40">
        <f>Parameter!$C$57*F24*(IF(AP24&lt;=Parameter!$C$18,0,IF(AP24&lt;=Parameter!$C$19,(Parameter!$C$22*(AP24-Parameter!$C$18)/10000+Parameter!$C$23)*(AP24-Parameter!$C$18)/10000,IF(AP24&lt;=Parameter!$C$20,(Parameter!$C$24*(AP24-Parameter!$C$19)/10000+Parameter!$C$25)*(AP24-Parameter!$C$19)/10000+Parameter!$C$26,IF(AP24&lt;=Parameter!$C$21,0.42*AP24-Parameter!$C$27,0.45*AP24-Parameter!$C$28)))))</f>
        <v/>
      </c>
      <c r="AR24" s="40">
        <f>AQ24+IF(AQ24&lt;=(Parameter!$C$30*Parameter!$C$57*F24),0,MIN(Parameter!$C$29*AQ24,Parameter!$C$31*(AQ24-(Parameter!$C$30*Parameter!$C$57*F24))))+Eingaben!$C$16*AQ24</f>
        <v/>
      </c>
      <c r="AS24" s="40">
        <f>AD24-AR24</f>
        <v/>
      </c>
      <c r="AT24" s="40">
        <f>MAX(0,AS24-AM24)</f>
        <v/>
      </c>
      <c r="AU24" s="40">
        <f>MIN(AJ24,Parameter!$C$47)+AM24</f>
        <v/>
      </c>
      <c r="AV24" s="40">
        <f>MAX(0,AJ24-Parameter!$C$47)+AT23</f>
        <v/>
      </c>
      <c r="AW24" s="40">
        <f>MAX(0,AI24-Parameter!$C$49)</f>
        <v/>
      </c>
      <c r="AX24" s="40">
        <f>AI24</f>
        <v/>
      </c>
      <c r="AY24" s="40">
        <f>IF(D24=0,AY23,AY23*(1+Parameter!$C$60)+R24*(1+Parameter!$C$60)^0.5)</f>
        <v/>
      </c>
      <c r="AZ24" s="40">
        <f>IF(D24=0,AZ23,AZ23*(1+Parameter!$C$60)+S24*(1+Parameter!$C$60)^0.5)</f>
        <v/>
      </c>
      <c r="BA24" s="40">
        <f>IF(D24=0,BA23,BA23*(1+Parameter!$C$61)+AU24*(1+Parameter!$C$61)^0.5)</f>
        <v/>
      </c>
      <c r="BB24" s="40">
        <f>IF(D24=0,BB23,BB23*(1+Parameter!$C$61)+AV24*(1+Parameter!$C$61)^0.5)</f>
        <v/>
      </c>
      <c r="BC24" s="40">
        <f>IF(D24=0,BC23,BC23*(1+Parameter!$C$62)+AW24*(1+Parameter!$C$62)^0.5-BF24)</f>
        <v/>
      </c>
      <c r="BD24" s="40">
        <f>IF(D24=0,BD23,BD23+AW24+BE24)</f>
        <v/>
      </c>
      <c r="BE24" s="40">
        <f>MAX(0,MIN(BC23*(1+Parameter!$C$62)+AW24*(1+Parameter!$C$62)^0.5-BC23-AW24,BC23*Parameter!$C$39*Parameter!$C$40))</f>
        <v/>
      </c>
      <c r="BF24" s="40">
        <f>MAX(0,BE24*(1-Parameter!$C$37)-Parameter!$C$67)*Parameter!$C$36</f>
        <v/>
      </c>
      <c r="BG24" s="40">
        <f>IF(D24=0,BG23,BG23*(1+Parameter!$C$62)+AX24*(1+Parameter!$C$62)^0.5-BJ24)</f>
        <v/>
      </c>
      <c r="BH24" s="40">
        <f>IF(D24=0,BH23,BH23+AX24+BI24)</f>
        <v/>
      </c>
      <c r="BI24" s="40">
        <f>MAX(0,MIN(BG23*(1+Parameter!$C$62)+AX24*(1+Parameter!$C$62)^0.5-BG23-AX24,BG23*Parameter!$C$39*Parameter!$C$40))</f>
        <v/>
      </c>
      <c r="BJ24" s="40">
        <f>MAX(0,BI24*(1-Parameter!$C$37)-Parameter!$C$67)*Parameter!$C$36</f>
        <v/>
      </c>
      <c r="BK24" s="38">
        <f>T24/(Parameter!$C$8*E24)</f>
        <v/>
      </c>
      <c r="BL24" s="38">
        <f>BL23+BK24</f>
        <v/>
      </c>
    </row>
    <row r="25">
      <c r="A25" s="32">
        <f>2026+17</f>
        <v/>
      </c>
      <c r="B25" s="32">
        <f>Eingaben!$C$5+17</f>
        <v/>
      </c>
      <c r="C25" s="32">
        <f>IF(AND(B25&lt;Eingaben!$C$8,B25&lt;Eingaben!$C$6),1,0)</f>
        <v/>
      </c>
      <c r="D25" s="32">
        <f>IF(B25&lt;Eingaben!$C$6,1,0)</f>
        <v/>
      </c>
      <c r="E25" s="41">
        <f>(1+Eingaben!$C$13)^17</f>
        <v/>
      </c>
      <c r="F25" s="41">
        <f>(1+Eingaben!$C$17)^17</f>
        <v/>
      </c>
      <c r="G25" s="42">
        <f>IF(B25&gt;=Eingaben!$C$9,Eingaben!$C$10,1)</f>
        <v/>
      </c>
      <c r="H25" s="43">
        <f>Eingaben!$C$12*E25*G25*C25</f>
        <v/>
      </c>
      <c r="I25" s="43">
        <f>Parameter!$C$4*E25</f>
        <v/>
      </c>
      <c r="J25" s="43">
        <f>Parameter!$C$5*E25</f>
        <v/>
      </c>
      <c r="K25" s="43">
        <f>MIN(H25,12*(IF(Eingaben!$C$22=2,Umrechnung!$C$54,Eingaben!$C$23))*IF(Eingaben!$C$25=1,E25,1))*C25</f>
        <v/>
      </c>
      <c r="L25" s="43">
        <f>MIN(K25,MAX(0,Parameter!$C$42*I25-P25))</f>
        <v/>
      </c>
      <c r="M25" s="43">
        <f>MIN(K25,MAX(0,Parameter!$C$43*I25-N25))</f>
        <v/>
      </c>
      <c r="N25" s="43">
        <f>C25*IF(K25/12+0.000000001&lt;Eingaben!$C$29,0,12*Eingaben!$C$27*IF(Eingaben!$C$28=1,E25,1))</f>
        <v/>
      </c>
      <c r="O25" s="43">
        <f>IF(Eingaben!$C$30=2,MIN(Eingaben!$C$26*K25,W25),Eingaben!$C$26*IF(Eingaben!$C$30=1,M25,K25))</f>
        <v/>
      </c>
      <c r="P25" s="43">
        <f>O25+N25</f>
        <v/>
      </c>
      <c r="Q25" s="43">
        <f>K25+P25</f>
        <v/>
      </c>
      <c r="R25" s="43">
        <f>MIN(Q25,Parameter!$C$42*I25)</f>
        <v/>
      </c>
      <c r="S25" s="43">
        <f>Q25-R25</f>
        <v/>
      </c>
      <c r="T25" s="43">
        <f>MIN(H25,I25)-MIN(H25-M25,I25)</f>
        <v/>
      </c>
      <c r="U25" s="43">
        <f>MIN(H25,J25)-MIN(H25-M25,J25)</f>
        <v/>
      </c>
      <c r="V25" s="43">
        <f>T25*(Parameter!$C$10+Parameter!$C$11)+U25*((Parameter!$C$12+Parameter!$C$13)/2+Parameter!$C$58)</f>
        <v/>
      </c>
      <c r="W25" s="43">
        <f>T25*(Parameter!$C$10+Parameter!$C$11)+U25*((Parameter!$C$12+Parameter!$C$13)/2+Parameter!$C$15)</f>
        <v/>
      </c>
      <c r="X25" s="43">
        <f>MIN(H25,I25)*Parameter!$C$10+MIN(H25,J25)*(0.96*(Parameter!$C$12+Parameter!$C$13)/2+Parameter!$C$58)</f>
        <v/>
      </c>
      <c r="Y25" s="43">
        <f>MIN(H25-M25,I25)*Parameter!$C$10+MIN(H25-M25,J25)*(0.96*(Parameter!$C$12+Parameter!$C$13)/2+Parameter!$C$58)</f>
        <v/>
      </c>
      <c r="Z25" s="43">
        <f>MAX(0,H25-Parameter!$C$32*F25-Parameter!$C$33-X25)</f>
        <v/>
      </c>
      <c r="AA25" s="43">
        <f>MAX(0,H25-L25-Parameter!$C$32*F25-Parameter!$C$33-Y25)</f>
        <v/>
      </c>
      <c r="AB25" s="43">
        <f>MAX(0,(Z25+IF(Eingaben!$C$14=3,Eingaben!$C$15,0))/Parameter!$C$57/F25)</f>
        <v/>
      </c>
      <c r="AC25" s="43">
        <f>Parameter!$C$57*F25*(IF(AB25&lt;=Parameter!$C$18,0,IF(AB25&lt;=Parameter!$C$19,(Parameter!$C$22*(AB25-Parameter!$C$18)/10000+Parameter!$C$23)*(AB25-Parameter!$C$18)/10000,IF(AB25&lt;=Parameter!$C$20,(Parameter!$C$24*(AB25-Parameter!$C$19)/10000+Parameter!$C$25)*(AB25-Parameter!$C$19)/10000+Parameter!$C$26,IF(AB25&lt;=Parameter!$C$21,0.42*AB25-Parameter!$C$27,0.45*AB25-Parameter!$C$28)))))</f>
        <v/>
      </c>
      <c r="AD25" s="43">
        <f>AC25+IF(AC25&lt;=(Parameter!$C$30*Parameter!$C$57*F25),0,MIN(Parameter!$C$29*AC25,Parameter!$C$31*(AC25-(Parameter!$C$30*Parameter!$C$57*F25))))+Eingaben!$C$16*AC25</f>
        <v/>
      </c>
      <c r="AE25" s="43">
        <f>MAX(0,(AA25+IF(Eingaben!$C$14=3,Eingaben!$C$15,0))/Parameter!$C$57/F25)</f>
        <v/>
      </c>
      <c r="AF25" s="43">
        <f>Parameter!$C$57*F25*(IF(AE25&lt;=Parameter!$C$18,0,IF(AE25&lt;=Parameter!$C$19,(Parameter!$C$22*(AE25-Parameter!$C$18)/10000+Parameter!$C$23)*(AE25-Parameter!$C$18)/10000,IF(AE25&lt;=Parameter!$C$20,(Parameter!$C$24*(AE25-Parameter!$C$19)/10000+Parameter!$C$25)*(AE25-Parameter!$C$19)/10000+Parameter!$C$26,IF(AE25&lt;=Parameter!$C$21,0.42*AE25-Parameter!$C$27,0.45*AE25-Parameter!$C$28)))))</f>
        <v/>
      </c>
      <c r="AG25" s="43">
        <f>AF25+IF(AF25&lt;=(Parameter!$C$30*Parameter!$C$57*F25),0,MIN(Parameter!$C$29*AF25,Parameter!$C$31*(AF25-(Parameter!$C$30*Parameter!$C$57*F25))))+Eingaben!$C$16*AF25</f>
        <v/>
      </c>
      <c r="AH25" s="43">
        <f>AD25-AG25</f>
        <v/>
      </c>
      <c r="AI25" s="43">
        <f>MAX(0,K25-V25-AH25)</f>
        <v/>
      </c>
      <c r="AJ25" s="43">
        <f>MIN(AI25,Parameter!$C$49)</f>
        <v/>
      </c>
      <c r="AK25" s="43">
        <f>Parameter!$C$44*MIN(AJ25,Parameter!$C$45)+Parameter!$C$46*MAX(0,MIN(AJ25,Parameter!$C$47)-Parameter!$C$45)</f>
        <v/>
      </c>
      <c r="AL25" s="43">
        <f>MIN(AJ25,Parameter!$C$48)*Eingaben!$C$18*IF(17&lt;Eingaben!$C$19,1,0)</f>
        <v/>
      </c>
      <c r="AM25" s="43">
        <f>MIN(AK25+AL25,MAX(0,Parameter!$C$49-AJ25))</f>
        <v/>
      </c>
      <c r="AN25" s="43">
        <f>MIN(MIN(AJ25,Parameter!$C$47)+AM25,Parameter!$C$50)</f>
        <v/>
      </c>
      <c r="AO25" s="43">
        <f>MAX(0,Z25-AN25)</f>
        <v/>
      </c>
      <c r="AP25" s="43">
        <f>MAX(0,(AO25+IF(Eingaben!$C$14=3,Eingaben!$C$15,0))/Parameter!$C$57/F25)</f>
        <v/>
      </c>
      <c r="AQ25" s="43">
        <f>Parameter!$C$57*F25*(IF(AP25&lt;=Parameter!$C$18,0,IF(AP25&lt;=Parameter!$C$19,(Parameter!$C$22*(AP25-Parameter!$C$18)/10000+Parameter!$C$23)*(AP25-Parameter!$C$18)/10000,IF(AP25&lt;=Parameter!$C$20,(Parameter!$C$24*(AP25-Parameter!$C$19)/10000+Parameter!$C$25)*(AP25-Parameter!$C$19)/10000+Parameter!$C$26,IF(AP25&lt;=Parameter!$C$21,0.42*AP25-Parameter!$C$27,0.45*AP25-Parameter!$C$28)))))</f>
        <v/>
      </c>
      <c r="AR25" s="43">
        <f>AQ25+IF(AQ25&lt;=(Parameter!$C$30*Parameter!$C$57*F25),0,MIN(Parameter!$C$29*AQ25,Parameter!$C$31*(AQ25-(Parameter!$C$30*Parameter!$C$57*F25))))+Eingaben!$C$16*AQ25</f>
        <v/>
      </c>
      <c r="AS25" s="43">
        <f>AD25-AR25</f>
        <v/>
      </c>
      <c r="AT25" s="43">
        <f>MAX(0,AS25-AM25)</f>
        <v/>
      </c>
      <c r="AU25" s="43">
        <f>MIN(AJ25,Parameter!$C$47)+AM25</f>
        <v/>
      </c>
      <c r="AV25" s="43">
        <f>MAX(0,AJ25-Parameter!$C$47)+AT24</f>
        <v/>
      </c>
      <c r="AW25" s="43">
        <f>MAX(0,AI25-Parameter!$C$49)</f>
        <v/>
      </c>
      <c r="AX25" s="43">
        <f>AI25</f>
        <v/>
      </c>
      <c r="AY25" s="43">
        <f>IF(D25=0,AY24,AY24*(1+Parameter!$C$60)+R25*(1+Parameter!$C$60)^0.5)</f>
        <v/>
      </c>
      <c r="AZ25" s="43">
        <f>IF(D25=0,AZ24,AZ24*(1+Parameter!$C$60)+S25*(1+Parameter!$C$60)^0.5)</f>
        <v/>
      </c>
      <c r="BA25" s="43">
        <f>IF(D25=0,BA24,BA24*(1+Parameter!$C$61)+AU25*(1+Parameter!$C$61)^0.5)</f>
        <v/>
      </c>
      <c r="BB25" s="43">
        <f>IF(D25=0,BB24,BB24*(1+Parameter!$C$61)+AV25*(1+Parameter!$C$61)^0.5)</f>
        <v/>
      </c>
      <c r="BC25" s="43">
        <f>IF(D25=0,BC24,BC24*(1+Parameter!$C$62)+AW25*(1+Parameter!$C$62)^0.5-BF25)</f>
        <v/>
      </c>
      <c r="BD25" s="43">
        <f>IF(D25=0,BD24,BD24+AW25+BE25)</f>
        <v/>
      </c>
      <c r="BE25" s="43">
        <f>MAX(0,MIN(BC24*(1+Parameter!$C$62)+AW25*(1+Parameter!$C$62)^0.5-BC24-AW25,BC24*Parameter!$C$39*Parameter!$C$40))</f>
        <v/>
      </c>
      <c r="BF25" s="43">
        <f>MAX(0,BE25*(1-Parameter!$C$37)-Parameter!$C$67)*Parameter!$C$36</f>
        <v/>
      </c>
      <c r="BG25" s="43">
        <f>IF(D25=0,BG24,BG24*(1+Parameter!$C$62)+AX25*(1+Parameter!$C$62)^0.5-BJ25)</f>
        <v/>
      </c>
      <c r="BH25" s="43">
        <f>IF(D25=0,BH24,BH24+AX25+BI25)</f>
        <v/>
      </c>
      <c r="BI25" s="43">
        <f>MAX(0,MIN(BG24*(1+Parameter!$C$62)+AX25*(1+Parameter!$C$62)^0.5-BG24-AX25,BG24*Parameter!$C$39*Parameter!$C$40))</f>
        <v/>
      </c>
      <c r="BJ25" s="43">
        <f>MAX(0,BI25*(1-Parameter!$C$37)-Parameter!$C$67)*Parameter!$C$36</f>
        <v/>
      </c>
      <c r="BK25" s="41">
        <f>T25/(Parameter!$C$8*E25)</f>
        <v/>
      </c>
      <c r="BL25" s="41">
        <f>BL24+BK25</f>
        <v/>
      </c>
    </row>
    <row r="26">
      <c r="A26" s="30">
        <f>2026+18</f>
        <v/>
      </c>
      <c r="B26" s="30">
        <f>Eingaben!$C$5+18</f>
        <v/>
      </c>
      <c r="C26" s="30">
        <f>IF(AND(B26&lt;Eingaben!$C$8,B26&lt;Eingaben!$C$6),1,0)</f>
        <v/>
      </c>
      <c r="D26" s="30">
        <f>IF(B26&lt;Eingaben!$C$6,1,0)</f>
        <v/>
      </c>
      <c r="E26" s="38">
        <f>(1+Eingaben!$C$13)^18</f>
        <v/>
      </c>
      <c r="F26" s="38">
        <f>(1+Eingaben!$C$17)^18</f>
        <v/>
      </c>
      <c r="G26" s="39">
        <f>IF(B26&gt;=Eingaben!$C$9,Eingaben!$C$10,1)</f>
        <v/>
      </c>
      <c r="H26" s="40">
        <f>Eingaben!$C$12*E26*G26*C26</f>
        <v/>
      </c>
      <c r="I26" s="40">
        <f>Parameter!$C$4*E26</f>
        <v/>
      </c>
      <c r="J26" s="40">
        <f>Parameter!$C$5*E26</f>
        <v/>
      </c>
      <c r="K26" s="40">
        <f>MIN(H26,12*(IF(Eingaben!$C$22=2,Umrechnung!$C$54,Eingaben!$C$23))*IF(Eingaben!$C$25=1,E26,1))*C26</f>
        <v/>
      </c>
      <c r="L26" s="40">
        <f>MIN(K26,MAX(0,Parameter!$C$42*I26-P26))</f>
        <v/>
      </c>
      <c r="M26" s="40">
        <f>MIN(K26,MAX(0,Parameter!$C$43*I26-N26))</f>
        <v/>
      </c>
      <c r="N26" s="40">
        <f>C26*IF(K26/12+0.000000001&lt;Eingaben!$C$29,0,12*Eingaben!$C$27*IF(Eingaben!$C$28=1,E26,1))</f>
        <v/>
      </c>
      <c r="O26" s="40">
        <f>IF(Eingaben!$C$30=2,MIN(Eingaben!$C$26*K26,W26),Eingaben!$C$26*IF(Eingaben!$C$30=1,M26,K26))</f>
        <v/>
      </c>
      <c r="P26" s="40">
        <f>O26+N26</f>
        <v/>
      </c>
      <c r="Q26" s="40">
        <f>K26+P26</f>
        <v/>
      </c>
      <c r="R26" s="40">
        <f>MIN(Q26,Parameter!$C$42*I26)</f>
        <v/>
      </c>
      <c r="S26" s="40">
        <f>Q26-R26</f>
        <v/>
      </c>
      <c r="T26" s="40">
        <f>MIN(H26,I26)-MIN(H26-M26,I26)</f>
        <v/>
      </c>
      <c r="U26" s="40">
        <f>MIN(H26,J26)-MIN(H26-M26,J26)</f>
        <v/>
      </c>
      <c r="V26" s="40">
        <f>T26*(Parameter!$C$10+Parameter!$C$11)+U26*((Parameter!$C$12+Parameter!$C$13)/2+Parameter!$C$58)</f>
        <v/>
      </c>
      <c r="W26" s="40">
        <f>T26*(Parameter!$C$10+Parameter!$C$11)+U26*((Parameter!$C$12+Parameter!$C$13)/2+Parameter!$C$15)</f>
        <v/>
      </c>
      <c r="X26" s="40">
        <f>MIN(H26,I26)*Parameter!$C$10+MIN(H26,J26)*(0.96*(Parameter!$C$12+Parameter!$C$13)/2+Parameter!$C$58)</f>
        <v/>
      </c>
      <c r="Y26" s="40">
        <f>MIN(H26-M26,I26)*Parameter!$C$10+MIN(H26-M26,J26)*(0.96*(Parameter!$C$12+Parameter!$C$13)/2+Parameter!$C$58)</f>
        <v/>
      </c>
      <c r="Z26" s="40">
        <f>MAX(0,H26-Parameter!$C$32*F26-Parameter!$C$33-X26)</f>
        <v/>
      </c>
      <c r="AA26" s="40">
        <f>MAX(0,H26-L26-Parameter!$C$32*F26-Parameter!$C$33-Y26)</f>
        <v/>
      </c>
      <c r="AB26" s="40">
        <f>MAX(0,(Z26+IF(Eingaben!$C$14=3,Eingaben!$C$15,0))/Parameter!$C$57/F26)</f>
        <v/>
      </c>
      <c r="AC26" s="40">
        <f>Parameter!$C$57*F26*(IF(AB26&lt;=Parameter!$C$18,0,IF(AB26&lt;=Parameter!$C$19,(Parameter!$C$22*(AB26-Parameter!$C$18)/10000+Parameter!$C$23)*(AB26-Parameter!$C$18)/10000,IF(AB26&lt;=Parameter!$C$20,(Parameter!$C$24*(AB26-Parameter!$C$19)/10000+Parameter!$C$25)*(AB26-Parameter!$C$19)/10000+Parameter!$C$26,IF(AB26&lt;=Parameter!$C$21,0.42*AB26-Parameter!$C$27,0.45*AB26-Parameter!$C$28)))))</f>
        <v/>
      </c>
      <c r="AD26" s="40">
        <f>AC26+IF(AC26&lt;=(Parameter!$C$30*Parameter!$C$57*F26),0,MIN(Parameter!$C$29*AC26,Parameter!$C$31*(AC26-(Parameter!$C$30*Parameter!$C$57*F26))))+Eingaben!$C$16*AC26</f>
        <v/>
      </c>
      <c r="AE26" s="40">
        <f>MAX(0,(AA26+IF(Eingaben!$C$14=3,Eingaben!$C$15,0))/Parameter!$C$57/F26)</f>
        <v/>
      </c>
      <c r="AF26" s="40">
        <f>Parameter!$C$57*F26*(IF(AE26&lt;=Parameter!$C$18,0,IF(AE26&lt;=Parameter!$C$19,(Parameter!$C$22*(AE26-Parameter!$C$18)/10000+Parameter!$C$23)*(AE26-Parameter!$C$18)/10000,IF(AE26&lt;=Parameter!$C$20,(Parameter!$C$24*(AE26-Parameter!$C$19)/10000+Parameter!$C$25)*(AE26-Parameter!$C$19)/10000+Parameter!$C$26,IF(AE26&lt;=Parameter!$C$21,0.42*AE26-Parameter!$C$27,0.45*AE26-Parameter!$C$28)))))</f>
        <v/>
      </c>
      <c r="AG26" s="40">
        <f>AF26+IF(AF26&lt;=(Parameter!$C$30*Parameter!$C$57*F26),0,MIN(Parameter!$C$29*AF26,Parameter!$C$31*(AF26-(Parameter!$C$30*Parameter!$C$57*F26))))+Eingaben!$C$16*AF26</f>
        <v/>
      </c>
      <c r="AH26" s="40">
        <f>AD26-AG26</f>
        <v/>
      </c>
      <c r="AI26" s="40">
        <f>MAX(0,K26-V26-AH26)</f>
        <v/>
      </c>
      <c r="AJ26" s="40">
        <f>MIN(AI26,Parameter!$C$49)</f>
        <v/>
      </c>
      <c r="AK26" s="40">
        <f>Parameter!$C$44*MIN(AJ26,Parameter!$C$45)+Parameter!$C$46*MAX(0,MIN(AJ26,Parameter!$C$47)-Parameter!$C$45)</f>
        <v/>
      </c>
      <c r="AL26" s="40">
        <f>MIN(AJ26,Parameter!$C$48)*Eingaben!$C$18*IF(18&lt;Eingaben!$C$19,1,0)</f>
        <v/>
      </c>
      <c r="AM26" s="40">
        <f>MIN(AK26+AL26,MAX(0,Parameter!$C$49-AJ26))</f>
        <v/>
      </c>
      <c r="AN26" s="40">
        <f>MIN(MIN(AJ26,Parameter!$C$47)+AM26,Parameter!$C$50)</f>
        <v/>
      </c>
      <c r="AO26" s="40">
        <f>MAX(0,Z26-AN26)</f>
        <v/>
      </c>
      <c r="AP26" s="40">
        <f>MAX(0,(AO26+IF(Eingaben!$C$14=3,Eingaben!$C$15,0))/Parameter!$C$57/F26)</f>
        <v/>
      </c>
      <c r="AQ26" s="40">
        <f>Parameter!$C$57*F26*(IF(AP26&lt;=Parameter!$C$18,0,IF(AP26&lt;=Parameter!$C$19,(Parameter!$C$22*(AP26-Parameter!$C$18)/10000+Parameter!$C$23)*(AP26-Parameter!$C$18)/10000,IF(AP26&lt;=Parameter!$C$20,(Parameter!$C$24*(AP26-Parameter!$C$19)/10000+Parameter!$C$25)*(AP26-Parameter!$C$19)/10000+Parameter!$C$26,IF(AP26&lt;=Parameter!$C$21,0.42*AP26-Parameter!$C$27,0.45*AP26-Parameter!$C$28)))))</f>
        <v/>
      </c>
      <c r="AR26" s="40">
        <f>AQ26+IF(AQ26&lt;=(Parameter!$C$30*Parameter!$C$57*F26),0,MIN(Parameter!$C$29*AQ26,Parameter!$C$31*(AQ26-(Parameter!$C$30*Parameter!$C$57*F26))))+Eingaben!$C$16*AQ26</f>
        <v/>
      </c>
      <c r="AS26" s="40">
        <f>AD26-AR26</f>
        <v/>
      </c>
      <c r="AT26" s="40">
        <f>MAX(0,AS26-AM26)</f>
        <v/>
      </c>
      <c r="AU26" s="40">
        <f>MIN(AJ26,Parameter!$C$47)+AM26</f>
        <v/>
      </c>
      <c r="AV26" s="40">
        <f>MAX(0,AJ26-Parameter!$C$47)+AT25</f>
        <v/>
      </c>
      <c r="AW26" s="40">
        <f>MAX(0,AI26-Parameter!$C$49)</f>
        <v/>
      </c>
      <c r="AX26" s="40">
        <f>AI26</f>
        <v/>
      </c>
      <c r="AY26" s="40">
        <f>IF(D26=0,AY25,AY25*(1+Parameter!$C$60)+R26*(1+Parameter!$C$60)^0.5)</f>
        <v/>
      </c>
      <c r="AZ26" s="40">
        <f>IF(D26=0,AZ25,AZ25*(1+Parameter!$C$60)+S26*(1+Parameter!$C$60)^0.5)</f>
        <v/>
      </c>
      <c r="BA26" s="40">
        <f>IF(D26=0,BA25,BA25*(1+Parameter!$C$61)+AU26*(1+Parameter!$C$61)^0.5)</f>
        <v/>
      </c>
      <c r="BB26" s="40">
        <f>IF(D26=0,BB25,BB25*(1+Parameter!$C$61)+AV26*(1+Parameter!$C$61)^0.5)</f>
        <v/>
      </c>
      <c r="BC26" s="40">
        <f>IF(D26=0,BC25,BC25*(1+Parameter!$C$62)+AW26*(1+Parameter!$C$62)^0.5-BF26)</f>
        <v/>
      </c>
      <c r="BD26" s="40">
        <f>IF(D26=0,BD25,BD25+AW26+BE26)</f>
        <v/>
      </c>
      <c r="BE26" s="40">
        <f>MAX(0,MIN(BC25*(1+Parameter!$C$62)+AW26*(1+Parameter!$C$62)^0.5-BC25-AW26,BC25*Parameter!$C$39*Parameter!$C$40))</f>
        <v/>
      </c>
      <c r="BF26" s="40">
        <f>MAX(0,BE26*(1-Parameter!$C$37)-Parameter!$C$67)*Parameter!$C$36</f>
        <v/>
      </c>
      <c r="BG26" s="40">
        <f>IF(D26=0,BG25,BG25*(1+Parameter!$C$62)+AX26*(1+Parameter!$C$62)^0.5-BJ26)</f>
        <v/>
      </c>
      <c r="BH26" s="40">
        <f>IF(D26=0,BH25,BH25+AX26+BI26)</f>
        <v/>
      </c>
      <c r="BI26" s="40">
        <f>MAX(0,MIN(BG25*(1+Parameter!$C$62)+AX26*(1+Parameter!$C$62)^0.5-BG25-AX26,BG25*Parameter!$C$39*Parameter!$C$40))</f>
        <v/>
      </c>
      <c r="BJ26" s="40">
        <f>MAX(0,BI26*(1-Parameter!$C$37)-Parameter!$C$67)*Parameter!$C$36</f>
        <v/>
      </c>
      <c r="BK26" s="38">
        <f>T26/(Parameter!$C$8*E26)</f>
        <v/>
      </c>
      <c r="BL26" s="38">
        <f>BL25+BK26</f>
        <v/>
      </c>
    </row>
    <row r="27">
      <c r="A27" s="32">
        <f>2026+19</f>
        <v/>
      </c>
      <c r="B27" s="32">
        <f>Eingaben!$C$5+19</f>
        <v/>
      </c>
      <c r="C27" s="32">
        <f>IF(AND(B27&lt;Eingaben!$C$8,B27&lt;Eingaben!$C$6),1,0)</f>
        <v/>
      </c>
      <c r="D27" s="32">
        <f>IF(B27&lt;Eingaben!$C$6,1,0)</f>
        <v/>
      </c>
      <c r="E27" s="41">
        <f>(1+Eingaben!$C$13)^19</f>
        <v/>
      </c>
      <c r="F27" s="41">
        <f>(1+Eingaben!$C$17)^19</f>
        <v/>
      </c>
      <c r="G27" s="42">
        <f>IF(B27&gt;=Eingaben!$C$9,Eingaben!$C$10,1)</f>
        <v/>
      </c>
      <c r="H27" s="43">
        <f>Eingaben!$C$12*E27*G27*C27</f>
        <v/>
      </c>
      <c r="I27" s="43">
        <f>Parameter!$C$4*E27</f>
        <v/>
      </c>
      <c r="J27" s="43">
        <f>Parameter!$C$5*E27</f>
        <v/>
      </c>
      <c r="K27" s="43">
        <f>MIN(H27,12*(IF(Eingaben!$C$22=2,Umrechnung!$C$54,Eingaben!$C$23))*IF(Eingaben!$C$25=1,E27,1))*C27</f>
        <v/>
      </c>
      <c r="L27" s="43">
        <f>MIN(K27,MAX(0,Parameter!$C$42*I27-P27))</f>
        <v/>
      </c>
      <c r="M27" s="43">
        <f>MIN(K27,MAX(0,Parameter!$C$43*I27-N27))</f>
        <v/>
      </c>
      <c r="N27" s="43">
        <f>C27*IF(K27/12+0.000000001&lt;Eingaben!$C$29,0,12*Eingaben!$C$27*IF(Eingaben!$C$28=1,E27,1))</f>
        <v/>
      </c>
      <c r="O27" s="43">
        <f>IF(Eingaben!$C$30=2,MIN(Eingaben!$C$26*K27,W27),Eingaben!$C$26*IF(Eingaben!$C$30=1,M27,K27))</f>
        <v/>
      </c>
      <c r="P27" s="43">
        <f>O27+N27</f>
        <v/>
      </c>
      <c r="Q27" s="43">
        <f>K27+P27</f>
        <v/>
      </c>
      <c r="R27" s="43">
        <f>MIN(Q27,Parameter!$C$42*I27)</f>
        <v/>
      </c>
      <c r="S27" s="43">
        <f>Q27-R27</f>
        <v/>
      </c>
      <c r="T27" s="43">
        <f>MIN(H27,I27)-MIN(H27-M27,I27)</f>
        <v/>
      </c>
      <c r="U27" s="43">
        <f>MIN(H27,J27)-MIN(H27-M27,J27)</f>
        <v/>
      </c>
      <c r="V27" s="43">
        <f>T27*(Parameter!$C$10+Parameter!$C$11)+U27*((Parameter!$C$12+Parameter!$C$13)/2+Parameter!$C$58)</f>
        <v/>
      </c>
      <c r="W27" s="43">
        <f>T27*(Parameter!$C$10+Parameter!$C$11)+U27*((Parameter!$C$12+Parameter!$C$13)/2+Parameter!$C$15)</f>
        <v/>
      </c>
      <c r="X27" s="43">
        <f>MIN(H27,I27)*Parameter!$C$10+MIN(H27,J27)*(0.96*(Parameter!$C$12+Parameter!$C$13)/2+Parameter!$C$58)</f>
        <v/>
      </c>
      <c r="Y27" s="43">
        <f>MIN(H27-M27,I27)*Parameter!$C$10+MIN(H27-M27,J27)*(0.96*(Parameter!$C$12+Parameter!$C$13)/2+Parameter!$C$58)</f>
        <v/>
      </c>
      <c r="Z27" s="43">
        <f>MAX(0,H27-Parameter!$C$32*F27-Parameter!$C$33-X27)</f>
        <v/>
      </c>
      <c r="AA27" s="43">
        <f>MAX(0,H27-L27-Parameter!$C$32*F27-Parameter!$C$33-Y27)</f>
        <v/>
      </c>
      <c r="AB27" s="43">
        <f>MAX(0,(Z27+IF(Eingaben!$C$14=3,Eingaben!$C$15,0))/Parameter!$C$57/F27)</f>
        <v/>
      </c>
      <c r="AC27" s="43">
        <f>Parameter!$C$57*F27*(IF(AB27&lt;=Parameter!$C$18,0,IF(AB27&lt;=Parameter!$C$19,(Parameter!$C$22*(AB27-Parameter!$C$18)/10000+Parameter!$C$23)*(AB27-Parameter!$C$18)/10000,IF(AB27&lt;=Parameter!$C$20,(Parameter!$C$24*(AB27-Parameter!$C$19)/10000+Parameter!$C$25)*(AB27-Parameter!$C$19)/10000+Parameter!$C$26,IF(AB27&lt;=Parameter!$C$21,0.42*AB27-Parameter!$C$27,0.45*AB27-Parameter!$C$28)))))</f>
        <v/>
      </c>
      <c r="AD27" s="43">
        <f>AC27+IF(AC27&lt;=(Parameter!$C$30*Parameter!$C$57*F27),0,MIN(Parameter!$C$29*AC27,Parameter!$C$31*(AC27-(Parameter!$C$30*Parameter!$C$57*F27))))+Eingaben!$C$16*AC27</f>
        <v/>
      </c>
      <c r="AE27" s="43">
        <f>MAX(0,(AA27+IF(Eingaben!$C$14=3,Eingaben!$C$15,0))/Parameter!$C$57/F27)</f>
        <v/>
      </c>
      <c r="AF27" s="43">
        <f>Parameter!$C$57*F27*(IF(AE27&lt;=Parameter!$C$18,0,IF(AE27&lt;=Parameter!$C$19,(Parameter!$C$22*(AE27-Parameter!$C$18)/10000+Parameter!$C$23)*(AE27-Parameter!$C$18)/10000,IF(AE27&lt;=Parameter!$C$20,(Parameter!$C$24*(AE27-Parameter!$C$19)/10000+Parameter!$C$25)*(AE27-Parameter!$C$19)/10000+Parameter!$C$26,IF(AE27&lt;=Parameter!$C$21,0.42*AE27-Parameter!$C$27,0.45*AE27-Parameter!$C$28)))))</f>
        <v/>
      </c>
      <c r="AG27" s="43">
        <f>AF27+IF(AF27&lt;=(Parameter!$C$30*Parameter!$C$57*F27),0,MIN(Parameter!$C$29*AF27,Parameter!$C$31*(AF27-(Parameter!$C$30*Parameter!$C$57*F27))))+Eingaben!$C$16*AF27</f>
        <v/>
      </c>
      <c r="AH27" s="43">
        <f>AD27-AG27</f>
        <v/>
      </c>
      <c r="AI27" s="43">
        <f>MAX(0,K27-V27-AH27)</f>
        <v/>
      </c>
      <c r="AJ27" s="43">
        <f>MIN(AI27,Parameter!$C$49)</f>
        <v/>
      </c>
      <c r="AK27" s="43">
        <f>Parameter!$C$44*MIN(AJ27,Parameter!$C$45)+Parameter!$C$46*MAX(0,MIN(AJ27,Parameter!$C$47)-Parameter!$C$45)</f>
        <v/>
      </c>
      <c r="AL27" s="43">
        <f>MIN(AJ27,Parameter!$C$48)*Eingaben!$C$18*IF(19&lt;Eingaben!$C$19,1,0)</f>
        <v/>
      </c>
      <c r="AM27" s="43">
        <f>MIN(AK27+AL27,MAX(0,Parameter!$C$49-AJ27))</f>
        <v/>
      </c>
      <c r="AN27" s="43">
        <f>MIN(MIN(AJ27,Parameter!$C$47)+AM27,Parameter!$C$50)</f>
        <v/>
      </c>
      <c r="AO27" s="43">
        <f>MAX(0,Z27-AN27)</f>
        <v/>
      </c>
      <c r="AP27" s="43">
        <f>MAX(0,(AO27+IF(Eingaben!$C$14=3,Eingaben!$C$15,0))/Parameter!$C$57/F27)</f>
        <v/>
      </c>
      <c r="AQ27" s="43">
        <f>Parameter!$C$57*F27*(IF(AP27&lt;=Parameter!$C$18,0,IF(AP27&lt;=Parameter!$C$19,(Parameter!$C$22*(AP27-Parameter!$C$18)/10000+Parameter!$C$23)*(AP27-Parameter!$C$18)/10000,IF(AP27&lt;=Parameter!$C$20,(Parameter!$C$24*(AP27-Parameter!$C$19)/10000+Parameter!$C$25)*(AP27-Parameter!$C$19)/10000+Parameter!$C$26,IF(AP27&lt;=Parameter!$C$21,0.42*AP27-Parameter!$C$27,0.45*AP27-Parameter!$C$28)))))</f>
        <v/>
      </c>
      <c r="AR27" s="43">
        <f>AQ27+IF(AQ27&lt;=(Parameter!$C$30*Parameter!$C$57*F27),0,MIN(Parameter!$C$29*AQ27,Parameter!$C$31*(AQ27-(Parameter!$C$30*Parameter!$C$57*F27))))+Eingaben!$C$16*AQ27</f>
        <v/>
      </c>
      <c r="AS27" s="43">
        <f>AD27-AR27</f>
        <v/>
      </c>
      <c r="AT27" s="43">
        <f>MAX(0,AS27-AM27)</f>
        <v/>
      </c>
      <c r="AU27" s="43">
        <f>MIN(AJ27,Parameter!$C$47)+AM27</f>
        <v/>
      </c>
      <c r="AV27" s="43">
        <f>MAX(0,AJ27-Parameter!$C$47)+AT26</f>
        <v/>
      </c>
      <c r="AW27" s="43">
        <f>MAX(0,AI27-Parameter!$C$49)</f>
        <v/>
      </c>
      <c r="AX27" s="43">
        <f>AI27</f>
        <v/>
      </c>
      <c r="AY27" s="43">
        <f>IF(D27=0,AY26,AY26*(1+Parameter!$C$60)+R27*(1+Parameter!$C$60)^0.5)</f>
        <v/>
      </c>
      <c r="AZ27" s="43">
        <f>IF(D27=0,AZ26,AZ26*(1+Parameter!$C$60)+S27*(1+Parameter!$C$60)^0.5)</f>
        <v/>
      </c>
      <c r="BA27" s="43">
        <f>IF(D27=0,BA26,BA26*(1+Parameter!$C$61)+AU27*(1+Parameter!$C$61)^0.5)</f>
        <v/>
      </c>
      <c r="BB27" s="43">
        <f>IF(D27=0,BB26,BB26*(1+Parameter!$C$61)+AV27*(1+Parameter!$C$61)^0.5)</f>
        <v/>
      </c>
      <c r="BC27" s="43">
        <f>IF(D27=0,BC26,BC26*(1+Parameter!$C$62)+AW27*(1+Parameter!$C$62)^0.5-BF27)</f>
        <v/>
      </c>
      <c r="BD27" s="43">
        <f>IF(D27=0,BD26,BD26+AW27+BE27)</f>
        <v/>
      </c>
      <c r="BE27" s="43">
        <f>MAX(0,MIN(BC26*(1+Parameter!$C$62)+AW27*(1+Parameter!$C$62)^0.5-BC26-AW27,BC26*Parameter!$C$39*Parameter!$C$40))</f>
        <v/>
      </c>
      <c r="BF27" s="43">
        <f>MAX(0,BE27*(1-Parameter!$C$37)-Parameter!$C$67)*Parameter!$C$36</f>
        <v/>
      </c>
      <c r="BG27" s="43">
        <f>IF(D27=0,BG26,BG26*(1+Parameter!$C$62)+AX27*(1+Parameter!$C$62)^0.5-BJ27)</f>
        <v/>
      </c>
      <c r="BH27" s="43">
        <f>IF(D27=0,BH26,BH26+AX27+BI27)</f>
        <v/>
      </c>
      <c r="BI27" s="43">
        <f>MAX(0,MIN(BG26*(1+Parameter!$C$62)+AX27*(1+Parameter!$C$62)^0.5-BG26-AX27,BG26*Parameter!$C$39*Parameter!$C$40))</f>
        <v/>
      </c>
      <c r="BJ27" s="43">
        <f>MAX(0,BI27*(1-Parameter!$C$37)-Parameter!$C$67)*Parameter!$C$36</f>
        <v/>
      </c>
      <c r="BK27" s="41">
        <f>T27/(Parameter!$C$8*E27)</f>
        <v/>
      </c>
      <c r="BL27" s="41">
        <f>BL26+BK27</f>
        <v/>
      </c>
    </row>
    <row r="28">
      <c r="A28" s="30">
        <f>2026+20</f>
        <v/>
      </c>
      <c r="B28" s="30">
        <f>Eingaben!$C$5+20</f>
        <v/>
      </c>
      <c r="C28" s="30">
        <f>IF(AND(B28&lt;Eingaben!$C$8,B28&lt;Eingaben!$C$6),1,0)</f>
        <v/>
      </c>
      <c r="D28" s="30">
        <f>IF(B28&lt;Eingaben!$C$6,1,0)</f>
        <v/>
      </c>
      <c r="E28" s="38">
        <f>(1+Eingaben!$C$13)^20</f>
        <v/>
      </c>
      <c r="F28" s="38">
        <f>(1+Eingaben!$C$17)^20</f>
        <v/>
      </c>
      <c r="G28" s="39">
        <f>IF(B28&gt;=Eingaben!$C$9,Eingaben!$C$10,1)</f>
        <v/>
      </c>
      <c r="H28" s="40">
        <f>Eingaben!$C$12*E28*G28*C28</f>
        <v/>
      </c>
      <c r="I28" s="40">
        <f>Parameter!$C$4*E28</f>
        <v/>
      </c>
      <c r="J28" s="40">
        <f>Parameter!$C$5*E28</f>
        <v/>
      </c>
      <c r="K28" s="40">
        <f>MIN(H28,12*(IF(Eingaben!$C$22=2,Umrechnung!$C$54,Eingaben!$C$23))*IF(Eingaben!$C$25=1,E28,1))*C28</f>
        <v/>
      </c>
      <c r="L28" s="40">
        <f>MIN(K28,MAX(0,Parameter!$C$42*I28-P28))</f>
        <v/>
      </c>
      <c r="M28" s="40">
        <f>MIN(K28,MAX(0,Parameter!$C$43*I28-N28))</f>
        <v/>
      </c>
      <c r="N28" s="40">
        <f>C28*IF(K28/12+0.000000001&lt;Eingaben!$C$29,0,12*Eingaben!$C$27*IF(Eingaben!$C$28=1,E28,1))</f>
        <v/>
      </c>
      <c r="O28" s="40">
        <f>IF(Eingaben!$C$30=2,MIN(Eingaben!$C$26*K28,W28),Eingaben!$C$26*IF(Eingaben!$C$30=1,M28,K28))</f>
        <v/>
      </c>
      <c r="P28" s="40">
        <f>O28+N28</f>
        <v/>
      </c>
      <c r="Q28" s="40">
        <f>K28+P28</f>
        <v/>
      </c>
      <c r="R28" s="40">
        <f>MIN(Q28,Parameter!$C$42*I28)</f>
        <v/>
      </c>
      <c r="S28" s="40">
        <f>Q28-R28</f>
        <v/>
      </c>
      <c r="T28" s="40">
        <f>MIN(H28,I28)-MIN(H28-M28,I28)</f>
        <v/>
      </c>
      <c r="U28" s="40">
        <f>MIN(H28,J28)-MIN(H28-M28,J28)</f>
        <v/>
      </c>
      <c r="V28" s="40">
        <f>T28*(Parameter!$C$10+Parameter!$C$11)+U28*((Parameter!$C$12+Parameter!$C$13)/2+Parameter!$C$58)</f>
        <v/>
      </c>
      <c r="W28" s="40">
        <f>T28*(Parameter!$C$10+Parameter!$C$11)+U28*((Parameter!$C$12+Parameter!$C$13)/2+Parameter!$C$15)</f>
        <v/>
      </c>
      <c r="X28" s="40">
        <f>MIN(H28,I28)*Parameter!$C$10+MIN(H28,J28)*(0.96*(Parameter!$C$12+Parameter!$C$13)/2+Parameter!$C$58)</f>
        <v/>
      </c>
      <c r="Y28" s="40">
        <f>MIN(H28-M28,I28)*Parameter!$C$10+MIN(H28-M28,J28)*(0.96*(Parameter!$C$12+Parameter!$C$13)/2+Parameter!$C$58)</f>
        <v/>
      </c>
      <c r="Z28" s="40">
        <f>MAX(0,H28-Parameter!$C$32*F28-Parameter!$C$33-X28)</f>
        <v/>
      </c>
      <c r="AA28" s="40">
        <f>MAX(0,H28-L28-Parameter!$C$32*F28-Parameter!$C$33-Y28)</f>
        <v/>
      </c>
      <c r="AB28" s="40">
        <f>MAX(0,(Z28+IF(Eingaben!$C$14=3,Eingaben!$C$15,0))/Parameter!$C$57/F28)</f>
        <v/>
      </c>
      <c r="AC28" s="40">
        <f>Parameter!$C$57*F28*(IF(AB28&lt;=Parameter!$C$18,0,IF(AB28&lt;=Parameter!$C$19,(Parameter!$C$22*(AB28-Parameter!$C$18)/10000+Parameter!$C$23)*(AB28-Parameter!$C$18)/10000,IF(AB28&lt;=Parameter!$C$20,(Parameter!$C$24*(AB28-Parameter!$C$19)/10000+Parameter!$C$25)*(AB28-Parameter!$C$19)/10000+Parameter!$C$26,IF(AB28&lt;=Parameter!$C$21,0.42*AB28-Parameter!$C$27,0.45*AB28-Parameter!$C$28)))))</f>
        <v/>
      </c>
      <c r="AD28" s="40">
        <f>AC28+IF(AC28&lt;=(Parameter!$C$30*Parameter!$C$57*F28),0,MIN(Parameter!$C$29*AC28,Parameter!$C$31*(AC28-(Parameter!$C$30*Parameter!$C$57*F28))))+Eingaben!$C$16*AC28</f>
        <v/>
      </c>
      <c r="AE28" s="40">
        <f>MAX(0,(AA28+IF(Eingaben!$C$14=3,Eingaben!$C$15,0))/Parameter!$C$57/F28)</f>
        <v/>
      </c>
      <c r="AF28" s="40">
        <f>Parameter!$C$57*F28*(IF(AE28&lt;=Parameter!$C$18,0,IF(AE28&lt;=Parameter!$C$19,(Parameter!$C$22*(AE28-Parameter!$C$18)/10000+Parameter!$C$23)*(AE28-Parameter!$C$18)/10000,IF(AE28&lt;=Parameter!$C$20,(Parameter!$C$24*(AE28-Parameter!$C$19)/10000+Parameter!$C$25)*(AE28-Parameter!$C$19)/10000+Parameter!$C$26,IF(AE28&lt;=Parameter!$C$21,0.42*AE28-Parameter!$C$27,0.45*AE28-Parameter!$C$28)))))</f>
        <v/>
      </c>
      <c r="AG28" s="40">
        <f>AF28+IF(AF28&lt;=(Parameter!$C$30*Parameter!$C$57*F28),0,MIN(Parameter!$C$29*AF28,Parameter!$C$31*(AF28-(Parameter!$C$30*Parameter!$C$57*F28))))+Eingaben!$C$16*AF28</f>
        <v/>
      </c>
      <c r="AH28" s="40">
        <f>AD28-AG28</f>
        <v/>
      </c>
      <c r="AI28" s="40">
        <f>MAX(0,K28-V28-AH28)</f>
        <v/>
      </c>
      <c r="AJ28" s="40">
        <f>MIN(AI28,Parameter!$C$49)</f>
        <v/>
      </c>
      <c r="AK28" s="40">
        <f>Parameter!$C$44*MIN(AJ28,Parameter!$C$45)+Parameter!$C$46*MAX(0,MIN(AJ28,Parameter!$C$47)-Parameter!$C$45)</f>
        <v/>
      </c>
      <c r="AL28" s="40">
        <f>MIN(AJ28,Parameter!$C$48)*Eingaben!$C$18*IF(20&lt;Eingaben!$C$19,1,0)</f>
        <v/>
      </c>
      <c r="AM28" s="40">
        <f>MIN(AK28+AL28,MAX(0,Parameter!$C$49-AJ28))</f>
        <v/>
      </c>
      <c r="AN28" s="40">
        <f>MIN(MIN(AJ28,Parameter!$C$47)+AM28,Parameter!$C$50)</f>
        <v/>
      </c>
      <c r="AO28" s="40">
        <f>MAX(0,Z28-AN28)</f>
        <v/>
      </c>
      <c r="AP28" s="40">
        <f>MAX(0,(AO28+IF(Eingaben!$C$14=3,Eingaben!$C$15,0))/Parameter!$C$57/F28)</f>
        <v/>
      </c>
      <c r="AQ28" s="40">
        <f>Parameter!$C$57*F28*(IF(AP28&lt;=Parameter!$C$18,0,IF(AP28&lt;=Parameter!$C$19,(Parameter!$C$22*(AP28-Parameter!$C$18)/10000+Parameter!$C$23)*(AP28-Parameter!$C$18)/10000,IF(AP28&lt;=Parameter!$C$20,(Parameter!$C$24*(AP28-Parameter!$C$19)/10000+Parameter!$C$25)*(AP28-Parameter!$C$19)/10000+Parameter!$C$26,IF(AP28&lt;=Parameter!$C$21,0.42*AP28-Parameter!$C$27,0.45*AP28-Parameter!$C$28)))))</f>
        <v/>
      </c>
      <c r="AR28" s="40">
        <f>AQ28+IF(AQ28&lt;=(Parameter!$C$30*Parameter!$C$57*F28),0,MIN(Parameter!$C$29*AQ28,Parameter!$C$31*(AQ28-(Parameter!$C$30*Parameter!$C$57*F28))))+Eingaben!$C$16*AQ28</f>
        <v/>
      </c>
      <c r="AS28" s="40">
        <f>AD28-AR28</f>
        <v/>
      </c>
      <c r="AT28" s="40">
        <f>MAX(0,AS28-AM28)</f>
        <v/>
      </c>
      <c r="AU28" s="40">
        <f>MIN(AJ28,Parameter!$C$47)+AM28</f>
        <v/>
      </c>
      <c r="AV28" s="40">
        <f>MAX(0,AJ28-Parameter!$C$47)+AT27</f>
        <v/>
      </c>
      <c r="AW28" s="40">
        <f>MAX(0,AI28-Parameter!$C$49)</f>
        <v/>
      </c>
      <c r="AX28" s="40">
        <f>AI28</f>
        <v/>
      </c>
      <c r="AY28" s="40">
        <f>IF(D28=0,AY27,AY27*(1+Parameter!$C$60)+R28*(1+Parameter!$C$60)^0.5)</f>
        <v/>
      </c>
      <c r="AZ28" s="40">
        <f>IF(D28=0,AZ27,AZ27*(1+Parameter!$C$60)+S28*(1+Parameter!$C$60)^0.5)</f>
        <v/>
      </c>
      <c r="BA28" s="40">
        <f>IF(D28=0,BA27,BA27*(1+Parameter!$C$61)+AU28*(1+Parameter!$C$61)^0.5)</f>
        <v/>
      </c>
      <c r="BB28" s="40">
        <f>IF(D28=0,BB27,BB27*(1+Parameter!$C$61)+AV28*(1+Parameter!$C$61)^0.5)</f>
        <v/>
      </c>
      <c r="BC28" s="40">
        <f>IF(D28=0,BC27,BC27*(1+Parameter!$C$62)+AW28*(1+Parameter!$C$62)^0.5-BF28)</f>
        <v/>
      </c>
      <c r="BD28" s="40">
        <f>IF(D28=0,BD27,BD27+AW28+BE28)</f>
        <v/>
      </c>
      <c r="BE28" s="40">
        <f>MAX(0,MIN(BC27*(1+Parameter!$C$62)+AW28*(1+Parameter!$C$62)^0.5-BC27-AW28,BC27*Parameter!$C$39*Parameter!$C$40))</f>
        <v/>
      </c>
      <c r="BF28" s="40">
        <f>MAX(0,BE28*(1-Parameter!$C$37)-Parameter!$C$67)*Parameter!$C$36</f>
        <v/>
      </c>
      <c r="BG28" s="40">
        <f>IF(D28=0,BG27,BG27*(1+Parameter!$C$62)+AX28*(1+Parameter!$C$62)^0.5-BJ28)</f>
        <v/>
      </c>
      <c r="BH28" s="40">
        <f>IF(D28=0,BH27,BH27+AX28+BI28)</f>
        <v/>
      </c>
      <c r="BI28" s="40">
        <f>MAX(0,MIN(BG27*(1+Parameter!$C$62)+AX28*(1+Parameter!$C$62)^0.5-BG27-AX28,BG27*Parameter!$C$39*Parameter!$C$40))</f>
        <v/>
      </c>
      <c r="BJ28" s="40">
        <f>MAX(0,BI28*(1-Parameter!$C$37)-Parameter!$C$67)*Parameter!$C$36</f>
        <v/>
      </c>
      <c r="BK28" s="38">
        <f>T28/(Parameter!$C$8*E28)</f>
        <v/>
      </c>
      <c r="BL28" s="38">
        <f>BL27+BK28</f>
        <v/>
      </c>
    </row>
    <row r="29">
      <c r="A29" s="32">
        <f>2026+21</f>
        <v/>
      </c>
      <c r="B29" s="32">
        <f>Eingaben!$C$5+21</f>
        <v/>
      </c>
      <c r="C29" s="32">
        <f>IF(AND(B29&lt;Eingaben!$C$8,B29&lt;Eingaben!$C$6),1,0)</f>
        <v/>
      </c>
      <c r="D29" s="32">
        <f>IF(B29&lt;Eingaben!$C$6,1,0)</f>
        <v/>
      </c>
      <c r="E29" s="41">
        <f>(1+Eingaben!$C$13)^21</f>
        <v/>
      </c>
      <c r="F29" s="41">
        <f>(1+Eingaben!$C$17)^21</f>
        <v/>
      </c>
      <c r="G29" s="42">
        <f>IF(B29&gt;=Eingaben!$C$9,Eingaben!$C$10,1)</f>
        <v/>
      </c>
      <c r="H29" s="43">
        <f>Eingaben!$C$12*E29*G29*C29</f>
        <v/>
      </c>
      <c r="I29" s="43">
        <f>Parameter!$C$4*E29</f>
        <v/>
      </c>
      <c r="J29" s="43">
        <f>Parameter!$C$5*E29</f>
        <v/>
      </c>
      <c r="K29" s="43">
        <f>MIN(H29,12*(IF(Eingaben!$C$22=2,Umrechnung!$C$54,Eingaben!$C$23))*IF(Eingaben!$C$25=1,E29,1))*C29</f>
        <v/>
      </c>
      <c r="L29" s="43">
        <f>MIN(K29,MAX(0,Parameter!$C$42*I29-P29))</f>
        <v/>
      </c>
      <c r="M29" s="43">
        <f>MIN(K29,MAX(0,Parameter!$C$43*I29-N29))</f>
        <v/>
      </c>
      <c r="N29" s="43">
        <f>C29*IF(K29/12+0.000000001&lt;Eingaben!$C$29,0,12*Eingaben!$C$27*IF(Eingaben!$C$28=1,E29,1))</f>
        <v/>
      </c>
      <c r="O29" s="43">
        <f>IF(Eingaben!$C$30=2,MIN(Eingaben!$C$26*K29,W29),Eingaben!$C$26*IF(Eingaben!$C$30=1,M29,K29))</f>
        <v/>
      </c>
      <c r="P29" s="43">
        <f>O29+N29</f>
        <v/>
      </c>
      <c r="Q29" s="43">
        <f>K29+P29</f>
        <v/>
      </c>
      <c r="R29" s="43">
        <f>MIN(Q29,Parameter!$C$42*I29)</f>
        <v/>
      </c>
      <c r="S29" s="43">
        <f>Q29-R29</f>
        <v/>
      </c>
      <c r="T29" s="43">
        <f>MIN(H29,I29)-MIN(H29-M29,I29)</f>
        <v/>
      </c>
      <c r="U29" s="43">
        <f>MIN(H29,J29)-MIN(H29-M29,J29)</f>
        <v/>
      </c>
      <c r="V29" s="43">
        <f>T29*(Parameter!$C$10+Parameter!$C$11)+U29*((Parameter!$C$12+Parameter!$C$13)/2+Parameter!$C$58)</f>
        <v/>
      </c>
      <c r="W29" s="43">
        <f>T29*(Parameter!$C$10+Parameter!$C$11)+U29*((Parameter!$C$12+Parameter!$C$13)/2+Parameter!$C$15)</f>
        <v/>
      </c>
      <c r="X29" s="43">
        <f>MIN(H29,I29)*Parameter!$C$10+MIN(H29,J29)*(0.96*(Parameter!$C$12+Parameter!$C$13)/2+Parameter!$C$58)</f>
        <v/>
      </c>
      <c r="Y29" s="43">
        <f>MIN(H29-M29,I29)*Parameter!$C$10+MIN(H29-M29,J29)*(0.96*(Parameter!$C$12+Parameter!$C$13)/2+Parameter!$C$58)</f>
        <v/>
      </c>
      <c r="Z29" s="43">
        <f>MAX(0,H29-Parameter!$C$32*F29-Parameter!$C$33-X29)</f>
        <v/>
      </c>
      <c r="AA29" s="43">
        <f>MAX(0,H29-L29-Parameter!$C$32*F29-Parameter!$C$33-Y29)</f>
        <v/>
      </c>
      <c r="AB29" s="43">
        <f>MAX(0,(Z29+IF(Eingaben!$C$14=3,Eingaben!$C$15,0))/Parameter!$C$57/F29)</f>
        <v/>
      </c>
      <c r="AC29" s="43">
        <f>Parameter!$C$57*F29*(IF(AB29&lt;=Parameter!$C$18,0,IF(AB29&lt;=Parameter!$C$19,(Parameter!$C$22*(AB29-Parameter!$C$18)/10000+Parameter!$C$23)*(AB29-Parameter!$C$18)/10000,IF(AB29&lt;=Parameter!$C$20,(Parameter!$C$24*(AB29-Parameter!$C$19)/10000+Parameter!$C$25)*(AB29-Parameter!$C$19)/10000+Parameter!$C$26,IF(AB29&lt;=Parameter!$C$21,0.42*AB29-Parameter!$C$27,0.45*AB29-Parameter!$C$28)))))</f>
        <v/>
      </c>
      <c r="AD29" s="43">
        <f>AC29+IF(AC29&lt;=(Parameter!$C$30*Parameter!$C$57*F29),0,MIN(Parameter!$C$29*AC29,Parameter!$C$31*(AC29-(Parameter!$C$30*Parameter!$C$57*F29))))+Eingaben!$C$16*AC29</f>
        <v/>
      </c>
      <c r="AE29" s="43">
        <f>MAX(0,(AA29+IF(Eingaben!$C$14=3,Eingaben!$C$15,0))/Parameter!$C$57/F29)</f>
        <v/>
      </c>
      <c r="AF29" s="43">
        <f>Parameter!$C$57*F29*(IF(AE29&lt;=Parameter!$C$18,0,IF(AE29&lt;=Parameter!$C$19,(Parameter!$C$22*(AE29-Parameter!$C$18)/10000+Parameter!$C$23)*(AE29-Parameter!$C$18)/10000,IF(AE29&lt;=Parameter!$C$20,(Parameter!$C$24*(AE29-Parameter!$C$19)/10000+Parameter!$C$25)*(AE29-Parameter!$C$19)/10000+Parameter!$C$26,IF(AE29&lt;=Parameter!$C$21,0.42*AE29-Parameter!$C$27,0.45*AE29-Parameter!$C$28)))))</f>
        <v/>
      </c>
      <c r="AG29" s="43">
        <f>AF29+IF(AF29&lt;=(Parameter!$C$30*Parameter!$C$57*F29),0,MIN(Parameter!$C$29*AF29,Parameter!$C$31*(AF29-(Parameter!$C$30*Parameter!$C$57*F29))))+Eingaben!$C$16*AF29</f>
        <v/>
      </c>
      <c r="AH29" s="43">
        <f>AD29-AG29</f>
        <v/>
      </c>
      <c r="AI29" s="43">
        <f>MAX(0,K29-V29-AH29)</f>
        <v/>
      </c>
      <c r="AJ29" s="43">
        <f>MIN(AI29,Parameter!$C$49)</f>
        <v/>
      </c>
      <c r="AK29" s="43">
        <f>Parameter!$C$44*MIN(AJ29,Parameter!$C$45)+Parameter!$C$46*MAX(0,MIN(AJ29,Parameter!$C$47)-Parameter!$C$45)</f>
        <v/>
      </c>
      <c r="AL29" s="43">
        <f>MIN(AJ29,Parameter!$C$48)*Eingaben!$C$18*IF(21&lt;Eingaben!$C$19,1,0)</f>
        <v/>
      </c>
      <c r="AM29" s="43">
        <f>MIN(AK29+AL29,MAX(0,Parameter!$C$49-AJ29))</f>
        <v/>
      </c>
      <c r="AN29" s="43">
        <f>MIN(MIN(AJ29,Parameter!$C$47)+AM29,Parameter!$C$50)</f>
        <v/>
      </c>
      <c r="AO29" s="43">
        <f>MAX(0,Z29-AN29)</f>
        <v/>
      </c>
      <c r="AP29" s="43">
        <f>MAX(0,(AO29+IF(Eingaben!$C$14=3,Eingaben!$C$15,0))/Parameter!$C$57/F29)</f>
        <v/>
      </c>
      <c r="AQ29" s="43">
        <f>Parameter!$C$57*F29*(IF(AP29&lt;=Parameter!$C$18,0,IF(AP29&lt;=Parameter!$C$19,(Parameter!$C$22*(AP29-Parameter!$C$18)/10000+Parameter!$C$23)*(AP29-Parameter!$C$18)/10000,IF(AP29&lt;=Parameter!$C$20,(Parameter!$C$24*(AP29-Parameter!$C$19)/10000+Parameter!$C$25)*(AP29-Parameter!$C$19)/10000+Parameter!$C$26,IF(AP29&lt;=Parameter!$C$21,0.42*AP29-Parameter!$C$27,0.45*AP29-Parameter!$C$28)))))</f>
        <v/>
      </c>
      <c r="AR29" s="43">
        <f>AQ29+IF(AQ29&lt;=(Parameter!$C$30*Parameter!$C$57*F29),0,MIN(Parameter!$C$29*AQ29,Parameter!$C$31*(AQ29-(Parameter!$C$30*Parameter!$C$57*F29))))+Eingaben!$C$16*AQ29</f>
        <v/>
      </c>
      <c r="AS29" s="43">
        <f>AD29-AR29</f>
        <v/>
      </c>
      <c r="AT29" s="43">
        <f>MAX(0,AS29-AM29)</f>
        <v/>
      </c>
      <c r="AU29" s="43">
        <f>MIN(AJ29,Parameter!$C$47)+AM29</f>
        <v/>
      </c>
      <c r="AV29" s="43">
        <f>MAX(0,AJ29-Parameter!$C$47)+AT28</f>
        <v/>
      </c>
      <c r="AW29" s="43">
        <f>MAX(0,AI29-Parameter!$C$49)</f>
        <v/>
      </c>
      <c r="AX29" s="43">
        <f>AI29</f>
        <v/>
      </c>
      <c r="AY29" s="43">
        <f>IF(D29=0,AY28,AY28*(1+Parameter!$C$60)+R29*(1+Parameter!$C$60)^0.5)</f>
        <v/>
      </c>
      <c r="AZ29" s="43">
        <f>IF(D29=0,AZ28,AZ28*(1+Parameter!$C$60)+S29*(1+Parameter!$C$60)^0.5)</f>
        <v/>
      </c>
      <c r="BA29" s="43">
        <f>IF(D29=0,BA28,BA28*(1+Parameter!$C$61)+AU29*(1+Parameter!$C$61)^0.5)</f>
        <v/>
      </c>
      <c r="BB29" s="43">
        <f>IF(D29=0,BB28,BB28*(1+Parameter!$C$61)+AV29*(1+Parameter!$C$61)^0.5)</f>
        <v/>
      </c>
      <c r="BC29" s="43">
        <f>IF(D29=0,BC28,BC28*(1+Parameter!$C$62)+AW29*(1+Parameter!$C$62)^0.5-BF29)</f>
        <v/>
      </c>
      <c r="BD29" s="43">
        <f>IF(D29=0,BD28,BD28+AW29+BE29)</f>
        <v/>
      </c>
      <c r="BE29" s="43">
        <f>MAX(0,MIN(BC28*(1+Parameter!$C$62)+AW29*(1+Parameter!$C$62)^0.5-BC28-AW29,BC28*Parameter!$C$39*Parameter!$C$40))</f>
        <v/>
      </c>
      <c r="BF29" s="43">
        <f>MAX(0,BE29*(1-Parameter!$C$37)-Parameter!$C$67)*Parameter!$C$36</f>
        <v/>
      </c>
      <c r="BG29" s="43">
        <f>IF(D29=0,BG28,BG28*(1+Parameter!$C$62)+AX29*(1+Parameter!$C$62)^0.5-BJ29)</f>
        <v/>
      </c>
      <c r="BH29" s="43">
        <f>IF(D29=0,BH28,BH28+AX29+BI29)</f>
        <v/>
      </c>
      <c r="BI29" s="43">
        <f>MAX(0,MIN(BG28*(1+Parameter!$C$62)+AX29*(1+Parameter!$C$62)^0.5-BG28-AX29,BG28*Parameter!$C$39*Parameter!$C$40))</f>
        <v/>
      </c>
      <c r="BJ29" s="43">
        <f>MAX(0,BI29*(1-Parameter!$C$37)-Parameter!$C$67)*Parameter!$C$36</f>
        <v/>
      </c>
      <c r="BK29" s="41">
        <f>T29/(Parameter!$C$8*E29)</f>
        <v/>
      </c>
      <c r="BL29" s="41">
        <f>BL28+BK29</f>
        <v/>
      </c>
    </row>
    <row r="30">
      <c r="A30" s="30">
        <f>2026+22</f>
        <v/>
      </c>
      <c r="B30" s="30">
        <f>Eingaben!$C$5+22</f>
        <v/>
      </c>
      <c r="C30" s="30">
        <f>IF(AND(B30&lt;Eingaben!$C$8,B30&lt;Eingaben!$C$6),1,0)</f>
        <v/>
      </c>
      <c r="D30" s="30">
        <f>IF(B30&lt;Eingaben!$C$6,1,0)</f>
        <v/>
      </c>
      <c r="E30" s="38">
        <f>(1+Eingaben!$C$13)^22</f>
        <v/>
      </c>
      <c r="F30" s="38">
        <f>(1+Eingaben!$C$17)^22</f>
        <v/>
      </c>
      <c r="G30" s="39">
        <f>IF(B30&gt;=Eingaben!$C$9,Eingaben!$C$10,1)</f>
        <v/>
      </c>
      <c r="H30" s="40">
        <f>Eingaben!$C$12*E30*G30*C30</f>
        <v/>
      </c>
      <c r="I30" s="40">
        <f>Parameter!$C$4*E30</f>
        <v/>
      </c>
      <c r="J30" s="40">
        <f>Parameter!$C$5*E30</f>
        <v/>
      </c>
      <c r="K30" s="40">
        <f>MIN(H30,12*(IF(Eingaben!$C$22=2,Umrechnung!$C$54,Eingaben!$C$23))*IF(Eingaben!$C$25=1,E30,1))*C30</f>
        <v/>
      </c>
      <c r="L30" s="40">
        <f>MIN(K30,MAX(0,Parameter!$C$42*I30-P30))</f>
        <v/>
      </c>
      <c r="M30" s="40">
        <f>MIN(K30,MAX(0,Parameter!$C$43*I30-N30))</f>
        <v/>
      </c>
      <c r="N30" s="40">
        <f>C30*IF(K30/12+0.000000001&lt;Eingaben!$C$29,0,12*Eingaben!$C$27*IF(Eingaben!$C$28=1,E30,1))</f>
        <v/>
      </c>
      <c r="O30" s="40">
        <f>IF(Eingaben!$C$30=2,MIN(Eingaben!$C$26*K30,W30),Eingaben!$C$26*IF(Eingaben!$C$30=1,M30,K30))</f>
        <v/>
      </c>
      <c r="P30" s="40">
        <f>O30+N30</f>
        <v/>
      </c>
      <c r="Q30" s="40">
        <f>K30+P30</f>
        <v/>
      </c>
      <c r="R30" s="40">
        <f>MIN(Q30,Parameter!$C$42*I30)</f>
        <v/>
      </c>
      <c r="S30" s="40">
        <f>Q30-R30</f>
        <v/>
      </c>
      <c r="T30" s="40">
        <f>MIN(H30,I30)-MIN(H30-M30,I30)</f>
        <v/>
      </c>
      <c r="U30" s="40">
        <f>MIN(H30,J30)-MIN(H30-M30,J30)</f>
        <v/>
      </c>
      <c r="V30" s="40">
        <f>T30*(Parameter!$C$10+Parameter!$C$11)+U30*((Parameter!$C$12+Parameter!$C$13)/2+Parameter!$C$58)</f>
        <v/>
      </c>
      <c r="W30" s="40">
        <f>T30*(Parameter!$C$10+Parameter!$C$11)+U30*((Parameter!$C$12+Parameter!$C$13)/2+Parameter!$C$15)</f>
        <v/>
      </c>
      <c r="X30" s="40">
        <f>MIN(H30,I30)*Parameter!$C$10+MIN(H30,J30)*(0.96*(Parameter!$C$12+Parameter!$C$13)/2+Parameter!$C$58)</f>
        <v/>
      </c>
      <c r="Y30" s="40">
        <f>MIN(H30-M30,I30)*Parameter!$C$10+MIN(H30-M30,J30)*(0.96*(Parameter!$C$12+Parameter!$C$13)/2+Parameter!$C$58)</f>
        <v/>
      </c>
      <c r="Z30" s="40">
        <f>MAX(0,H30-Parameter!$C$32*F30-Parameter!$C$33-X30)</f>
        <v/>
      </c>
      <c r="AA30" s="40">
        <f>MAX(0,H30-L30-Parameter!$C$32*F30-Parameter!$C$33-Y30)</f>
        <v/>
      </c>
      <c r="AB30" s="40">
        <f>MAX(0,(Z30+IF(Eingaben!$C$14=3,Eingaben!$C$15,0))/Parameter!$C$57/F30)</f>
        <v/>
      </c>
      <c r="AC30" s="40">
        <f>Parameter!$C$57*F30*(IF(AB30&lt;=Parameter!$C$18,0,IF(AB30&lt;=Parameter!$C$19,(Parameter!$C$22*(AB30-Parameter!$C$18)/10000+Parameter!$C$23)*(AB30-Parameter!$C$18)/10000,IF(AB30&lt;=Parameter!$C$20,(Parameter!$C$24*(AB30-Parameter!$C$19)/10000+Parameter!$C$25)*(AB30-Parameter!$C$19)/10000+Parameter!$C$26,IF(AB30&lt;=Parameter!$C$21,0.42*AB30-Parameter!$C$27,0.45*AB30-Parameter!$C$28)))))</f>
        <v/>
      </c>
      <c r="AD30" s="40">
        <f>AC30+IF(AC30&lt;=(Parameter!$C$30*Parameter!$C$57*F30),0,MIN(Parameter!$C$29*AC30,Parameter!$C$31*(AC30-(Parameter!$C$30*Parameter!$C$57*F30))))+Eingaben!$C$16*AC30</f>
        <v/>
      </c>
      <c r="AE30" s="40">
        <f>MAX(0,(AA30+IF(Eingaben!$C$14=3,Eingaben!$C$15,0))/Parameter!$C$57/F30)</f>
        <v/>
      </c>
      <c r="AF30" s="40">
        <f>Parameter!$C$57*F30*(IF(AE30&lt;=Parameter!$C$18,0,IF(AE30&lt;=Parameter!$C$19,(Parameter!$C$22*(AE30-Parameter!$C$18)/10000+Parameter!$C$23)*(AE30-Parameter!$C$18)/10000,IF(AE30&lt;=Parameter!$C$20,(Parameter!$C$24*(AE30-Parameter!$C$19)/10000+Parameter!$C$25)*(AE30-Parameter!$C$19)/10000+Parameter!$C$26,IF(AE30&lt;=Parameter!$C$21,0.42*AE30-Parameter!$C$27,0.45*AE30-Parameter!$C$28)))))</f>
        <v/>
      </c>
      <c r="AG30" s="40">
        <f>AF30+IF(AF30&lt;=(Parameter!$C$30*Parameter!$C$57*F30),0,MIN(Parameter!$C$29*AF30,Parameter!$C$31*(AF30-(Parameter!$C$30*Parameter!$C$57*F30))))+Eingaben!$C$16*AF30</f>
        <v/>
      </c>
      <c r="AH30" s="40">
        <f>AD30-AG30</f>
        <v/>
      </c>
      <c r="AI30" s="40">
        <f>MAX(0,K30-V30-AH30)</f>
        <v/>
      </c>
      <c r="AJ30" s="40">
        <f>MIN(AI30,Parameter!$C$49)</f>
        <v/>
      </c>
      <c r="AK30" s="40">
        <f>Parameter!$C$44*MIN(AJ30,Parameter!$C$45)+Parameter!$C$46*MAX(0,MIN(AJ30,Parameter!$C$47)-Parameter!$C$45)</f>
        <v/>
      </c>
      <c r="AL30" s="40">
        <f>MIN(AJ30,Parameter!$C$48)*Eingaben!$C$18*IF(22&lt;Eingaben!$C$19,1,0)</f>
        <v/>
      </c>
      <c r="AM30" s="40">
        <f>MIN(AK30+AL30,MAX(0,Parameter!$C$49-AJ30))</f>
        <v/>
      </c>
      <c r="AN30" s="40">
        <f>MIN(MIN(AJ30,Parameter!$C$47)+AM30,Parameter!$C$50)</f>
        <v/>
      </c>
      <c r="AO30" s="40">
        <f>MAX(0,Z30-AN30)</f>
        <v/>
      </c>
      <c r="AP30" s="40">
        <f>MAX(0,(AO30+IF(Eingaben!$C$14=3,Eingaben!$C$15,0))/Parameter!$C$57/F30)</f>
        <v/>
      </c>
      <c r="AQ30" s="40">
        <f>Parameter!$C$57*F30*(IF(AP30&lt;=Parameter!$C$18,0,IF(AP30&lt;=Parameter!$C$19,(Parameter!$C$22*(AP30-Parameter!$C$18)/10000+Parameter!$C$23)*(AP30-Parameter!$C$18)/10000,IF(AP30&lt;=Parameter!$C$20,(Parameter!$C$24*(AP30-Parameter!$C$19)/10000+Parameter!$C$25)*(AP30-Parameter!$C$19)/10000+Parameter!$C$26,IF(AP30&lt;=Parameter!$C$21,0.42*AP30-Parameter!$C$27,0.45*AP30-Parameter!$C$28)))))</f>
        <v/>
      </c>
      <c r="AR30" s="40">
        <f>AQ30+IF(AQ30&lt;=(Parameter!$C$30*Parameter!$C$57*F30),0,MIN(Parameter!$C$29*AQ30,Parameter!$C$31*(AQ30-(Parameter!$C$30*Parameter!$C$57*F30))))+Eingaben!$C$16*AQ30</f>
        <v/>
      </c>
      <c r="AS30" s="40">
        <f>AD30-AR30</f>
        <v/>
      </c>
      <c r="AT30" s="40">
        <f>MAX(0,AS30-AM30)</f>
        <v/>
      </c>
      <c r="AU30" s="40">
        <f>MIN(AJ30,Parameter!$C$47)+AM30</f>
        <v/>
      </c>
      <c r="AV30" s="40">
        <f>MAX(0,AJ30-Parameter!$C$47)+AT29</f>
        <v/>
      </c>
      <c r="AW30" s="40">
        <f>MAX(0,AI30-Parameter!$C$49)</f>
        <v/>
      </c>
      <c r="AX30" s="40">
        <f>AI30</f>
        <v/>
      </c>
      <c r="AY30" s="40">
        <f>IF(D30=0,AY29,AY29*(1+Parameter!$C$60)+R30*(1+Parameter!$C$60)^0.5)</f>
        <v/>
      </c>
      <c r="AZ30" s="40">
        <f>IF(D30=0,AZ29,AZ29*(1+Parameter!$C$60)+S30*(1+Parameter!$C$60)^0.5)</f>
        <v/>
      </c>
      <c r="BA30" s="40">
        <f>IF(D30=0,BA29,BA29*(1+Parameter!$C$61)+AU30*(1+Parameter!$C$61)^0.5)</f>
        <v/>
      </c>
      <c r="BB30" s="40">
        <f>IF(D30=0,BB29,BB29*(1+Parameter!$C$61)+AV30*(1+Parameter!$C$61)^0.5)</f>
        <v/>
      </c>
      <c r="BC30" s="40">
        <f>IF(D30=0,BC29,BC29*(1+Parameter!$C$62)+AW30*(1+Parameter!$C$62)^0.5-BF30)</f>
        <v/>
      </c>
      <c r="BD30" s="40">
        <f>IF(D30=0,BD29,BD29+AW30+BE30)</f>
        <v/>
      </c>
      <c r="BE30" s="40">
        <f>MAX(0,MIN(BC29*(1+Parameter!$C$62)+AW30*(1+Parameter!$C$62)^0.5-BC29-AW30,BC29*Parameter!$C$39*Parameter!$C$40))</f>
        <v/>
      </c>
      <c r="BF30" s="40">
        <f>MAX(0,BE30*(1-Parameter!$C$37)-Parameter!$C$67)*Parameter!$C$36</f>
        <v/>
      </c>
      <c r="BG30" s="40">
        <f>IF(D30=0,BG29,BG29*(1+Parameter!$C$62)+AX30*(1+Parameter!$C$62)^0.5-BJ30)</f>
        <v/>
      </c>
      <c r="BH30" s="40">
        <f>IF(D30=0,BH29,BH29+AX30+BI30)</f>
        <v/>
      </c>
      <c r="BI30" s="40">
        <f>MAX(0,MIN(BG29*(1+Parameter!$C$62)+AX30*(1+Parameter!$C$62)^0.5-BG29-AX30,BG29*Parameter!$C$39*Parameter!$C$40))</f>
        <v/>
      </c>
      <c r="BJ30" s="40">
        <f>MAX(0,BI30*(1-Parameter!$C$37)-Parameter!$C$67)*Parameter!$C$36</f>
        <v/>
      </c>
      <c r="BK30" s="38">
        <f>T30/(Parameter!$C$8*E30)</f>
        <v/>
      </c>
      <c r="BL30" s="38">
        <f>BL29+BK30</f>
        <v/>
      </c>
    </row>
    <row r="31">
      <c r="A31" s="32">
        <f>2026+23</f>
        <v/>
      </c>
      <c r="B31" s="32">
        <f>Eingaben!$C$5+23</f>
        <v/>
      </c>
      <c r="C31" s="32">
        <f>IF(AND(B31&lt;Eingaben!$C$8,B31&lt;Eingaben!$C$6),1,0)</f>
        <v/>
      </c>
      <c r="D31" s="32">
        <f>IF(B31&lt;Eingaben!$C$6,1,0)</f>
        <v/>
      </c>
      <c r="E31" s="41">
        <f>(1+Eingaben!$C$13)^23</f>
        <v/>
      </c>
      <c r="F31" s="41">
        <f>(1+Eingaben!$C$17)^23</f>
        <v/>
      </c>
      <c r="G31" s="42">
        <f>IF(B31&gt;=Eingaben!$C$9,Eingaben!$C$10,1)</f>
        <v/>
      </c>
      <c r="H31" s="43">
        <f>Eingaben!$C$12*E31*G31*C31</f>
        <v/>
      </c>
      <c r="I31" s="43">
        <f>Parameter!$C$4*E31</f>
        <v/>
      </c>
      <c r="J31" s="43">
        <f>Parameter!$C$5*E31</f>
        <v/>
      </c>
      <c r="K31" s="43">
        <f>MIN(H31,12*(IF(Eingaben!$C$22=2,Umrechnung!$C$54,Eingaben!$C$23))*IF(Eingaben!$C$25=1,E31,1))*C31</f>
        <v/>
      </c>
      <c r="L31" s="43">
        <f>MIN(K31,MAX(0,Parameter!$C$42*I31-P31))</f>
        <v/>
      </c>
      <c r="M31" s="43">
        <f>MIN(K31,MAX(0,Parameter!$C$43*I31-N31))</f>
        <v/>
      </c>
      <c r="N31" s="43">
        <f>C31*IF(K31/12+0.000000001&lt;Eingaben!$C$29,0,12*Eingaben!$C$27*IF(Eingaben!$C$28=1,E31,1))</f>
        <v/>
      </c>
      <c r="O31" s="43">
        <f>IF(Eingaben!$C$30=2,MIN(Eingaben!$C$26*K31,W31),Eingaben!$C$26*IF(Eingaben!$C$30=1,M31,K31))</f>
        <v/>
      </c>
      <c r="P31" s="43">
        <f>O31+N31</f>
        <v/>
      </c>
      <c r="Q31" s="43">
        <f>K31+P31</f>
        <v/>
      </c>
      <c r="R31" s="43">
        <f>MIN(Q31,Parameter!$C$42*I31)</f>
        <v/>
      </c>
      <c r="S31" s="43">
        <f>Q31-R31</f>
        <v/>
      </c>
      <c r="T31" s="43">
        <f>MIN(H31,I31)-MIN(H31-M31,I31)</f>
        <v/>
      </c>
      <c r="U31" s="43">
        <f>MIN(H31,J31)-MIN(H31-M31,J31)</f>
        <v/>
      </c>
      <c r="V31" s="43">
        <f>T31*(Parameter!$C$10+Parameter!$C$11)+U31*((Parameter!$C$12+Parameter!$C$13)/2+Parameter!$C$58)</f>
        <v/>
      </c>
      <c r="W31" s="43">
        <f>T31*(Parameter!$C$10+Parameter!$C$11)+U31*((Parameter!$C$12+Parameter!$C$13)/2+Parameter!$C$15)</f>
        <v/>
      </c>
      <c r="X31" s="43">
        <f>MIN(H31,I31)*Parameter!$C$10+MIN(H31,J31)*(0.96*(Parameter!$C$12+Parameter!$C$13)/2+Parameter!$C$58)</f>
        <v/>
      </c>
      <c r="Y31" s="43">
        <f>MIN(H31-M31,I31)*Parameter!$C$10+MIN(H31-M31,J31)*(0.96*(Parameter!$C$12+Parameter!$C$13)/2+Parameter!$C$58)</f>
        <v/>
      </c>
      <c r="Z31" s="43">
        <f>MAX(0,H31-Parameter!$C$32*F31-Parameter!$C$33-X31)</f>
        <v/>
      </c>
      <c r="AA31" s="43">
        <f>MAX(0,H31-L31-Parameter!$C$32*F31-Parameter!$C$33-Y31)</f>
        <v/>
      </c>
      <c r="AB31" s="43">
        <f>MAX(0,(Z31+IF(Eingaben!$C$14=3,Eingaben!$C$15,0))/Parameter!$C$57/F31)</f>
        <v/>
      </c>
      <c r="AC31" s="43">
        <f>Parameter!$C$57*F31*(IF(AB31&lt;=Parameter!$C$18,0,IF(AB31&lt;=Parameter!$C$19,(Parameter!$C$22*(AB31-Parameter!$C$18)/10000+Parameter!$C$23)*(AB31-Parameter!$C$18)/10000,IF(AB31&lt;=Parameter!$C$20,(Parameter!$C$24*(AB31-Parameter!$C$19)/10000+Parameter!$C$25)*(AB31-Parameter!$C$19)/10000+Parameter!$C$26,IF(AB31&lt;=Parameter!$C$21,0.42*AB31-Parameter!$C$27,0.45*AB31-Parameter!$C$28)))))</f>
        <v/>
      </c>
      <c r="AD31" s="43">
        <f>AC31+IF(AC31&lt;=(Parameter!$C$30*Parameter!$C$57*F31),0,MIN(Parameter!$C$29*AC31,Parameter!$C$31*(AC31-(Parameter!$C$30*Parameter!$C$57*F31))))+Eingaben!$C$16*AC31</f>
        <v/>
      </c>
      <c r="AE31" s="43">
        <f>MAX(0,(AA31+IF(Eingaben!$C$14=3,Eingaben!$C$15,0))/Parameter!$C$57/F31)</f>
        <v/>
      </c>
      <c r="AF31" s="43">
        <f>Parameter!$C$57*F31*(IF(AE31&lt;=Parameter!$C$18,0,IF(AE31&lt;=Parameter!$C$19,(Parameter!$C$22*(AE31-Parameter!$C$18)/10000+Parameter!$C$23)*(AE31-Parameter!$C$18)/10000,IF(AE31&lt;=Parameter!$C$20,(Parameter!$C$24*(AE31-Parameter!$C$19)/10000+Parameter!$C$25)*(AE31-Parameter!$C$19)/10000+Parameter!$C$26,IF(AE31&lt;=Parameter!$C$21,0.42*AE31-Parameter!$C$27,0.45*AE31-Parameter!$C$28)))))</f>
        <v/>
      </c>
      <c r="AG31" s="43">
        <f>AF31+IF(AF31&lt;=(Parameter!$C$30*Parameter!$C$57*F31),0,MIN(Parameter!$C$29*AF31,Parameter!$C$31*(AF31-(Parameter!$C$30*Parameter!$C$57*F31))))+Eingaben!$C$16*AF31</f>
        <v/>
      </c>
      <c r="AH31" s="43">
        <f>AD31-AG31</f>
        <v/>
      </c>
      <c r="AI31" s="43">
        <f>MAX(0,K31-V31-AH31)</f>
        <v/>
      </c>
      <c r="AJ31" s="43">
        <f>MIN(AI31,Parameter!$C$49)</f>
        <v/>
      </c>
      <c r="AK31" s="43">
        <f>Parameter!$C$44*MIN(AJ31,Parameter!$C$45)+Parameter!$C$46*MAX(0,MIN(AJ31,Parameter!$C$47)-Parameter!$C$45)</f>
        <v/>
      </c>
      <c r="AL31" s="43">
        <f>MIN(AJ31,Parameter!$C$48)*Eingaben!$C$18*IF(23&lt;Eingaben!$C$19,1,0)</f>
        <v/>
      </c>
      <c r="AM31" s="43">
        <f>MIN(AK31+AL31,MAX(0,Parameter!$C$49-AJ31))</f>
        <v/>
      </c>
      <c r="AN31" s="43">
        <f>MIN(MIN(AJ31,Parameter!$C$47)+AM31,Parameter!$C$50)</f>
        <v/>
      </c>
      <c r="AO31" s="43">
        <f>MAX(0,Z31-AN31)</f>
        <v/>
      </c>
      <c r="AP31" s="43">
        <f>MAX(0,(AO31+IF(Eingaben!$C$14=3,Eingaben!$C$15,0))/Parameter!$C$57/F31)</f>
        <v/>
      </c>
      <c r="AQ31" s="43">
        <f>Parameter!$C$57*F31*(IF(AP31&lt;=Parameter!$C$18,0,IF(AP31&lt;=Parameter!$C$19,(Parameter!$C$22*(AP31-Parameter!$C$18)/10000+Parameter!$C$23)*(AP31-Parameter!$C$18)/10000,IF(AP31&lt;=Parameter!$C$20,(Parameter!$C$24*(AP31-Parameter!$C$19)/10000+Parameter!$C$25)*(AP31-Parameter!$C$19)/10000+Parameter!$C$26,IF(AP31&lt;=Parameter!$C$21,0.42*AP31-Parameter!$C$27,0.45*AP31-Parameter!$C$28)))))</f>
        <v/>
      </c>
      <c r="AR31" s="43">
        <f>AQ31+IF(AQ31&lt;=(Parameter!$C$30*Parameter!$C$57*F31),0,MIN(Parameter!$C$29*AQ31,Parameter!$C$31*(AQ31-(Parameter!$C$30*Parameter!$C$57*F31))))+Eingaben!$C$16*AQ31</f>
        <v/>
      </c>
      <c r="AS31" s="43">
        <f>AD31-AR31</f>
        <v/>
      </c>
      <c r="AT31" s="43">
        <f>MAX(0,AS31-AM31)</f>
        <v/>
      </c>
      <c r="AU31" s="43">
        <f>MIN(AJ31,Parameter!$C$47)+AM31</f>
        <v/>
      </c>
      <c r="AV31" s="43">
        <f>MAX(0,AJ31-Parameter!$C$47)+AT30</f>
        <v/>
      </c>
      <c r="AW31" s="43">
        <f>MAX(0,AI31-Parameter!$C$49)</f>
        <v/>
      </c>
      <c r="AX31" s="43">
        <f>AI31</f>
        <v/>
      </c>
      <c r="AY31" s="43">
        <f>IF(D31=0,AY30,AY30*(1+Parameter!$C$60)+R31*(1+Parameter!$C$60)^0.5)</f>
        <v/>
      </c>
      <c r="AZ31" s="43">
        <f>IF(D31=0,AZ30,AZ30*(1+Parameter!$C$60)+S31*(1+Parameter!$C$60)^0.5)</f>
        <v/>
      </c>
      <c r="BA31" s="43">
        <f>IF(D31=0,BA30,BA30*(1+Parameter!$C$61)+AU31*(1+Parameter!$C$61)^0.5)</f>
        <v/>
      </c>
      <c r="BB31" s="43">
        <f>IF(D31=0,BB30,BB30*(1+Parameter!$C$61)+AV31*(1+Parameter!$C$61)^0.5)</f>
        <v/>
      </c>
      <c r="BC31" s="43">
        <f>IF(D31=0,BC30,BC30*(1+Parameter!$C$62)+AW31*(1+Parameter!$C$62)^0.5-BF31)</f>
        <v/>
      </c>
      <c r="BD31" s="43">
        <f>IF(D31=0,BD30,BD30+AW31+BE31)</f>
        <v/>
      </c>
      <c r="BE31" s="43">
        <f>MAX(0,MIN(BC30*(1+Parameter!$C$62)+AW31*(1+Parameter!$C$62)^0.5-BC30-AW31,BC30*Parameter!$C$39*Parameter!$C$40))</f>
        <v/>
      </c>
      <c r="BF31" s="43">
        <f>MAX(0,BE31*(1-Parameter!$C$37)-Parameter!$C$67)*Parameter!$C$36</f>
        <v/>
      </c>
      <c r="BG31" s="43">
        <f>IF(D31=0,BG30,BG30*(1+Parameter!$C$62)+AX31*(1+Parameter!$C$62)^0.5-BJ31)</f>
        <v/>
      </c>
      <c r="BH31" s="43">
        <f>IF(D31=0,BH30,BH30+AX31+BI31)</f>
        <v/>
      </c>
      <c r="BI31" s="43">
        <f>MAX(0,MIN(BG30*(1+Parameter!$C$62)+AX31*(1+Parameter!$C$62)^0.5-BG30-AX31,BG30*Parameter!$C$39*Parameter!$C$40))</f>
        <v/>
      </c>
      <c r="BJ31" s="43">
        <f>MAX(0,BI31*(1-Parameter!$C$37)-Parameter!$C$67)*Parameter!$C$36</f>
        <v/>
      </c>
      <c r="BK31" s="41">
        <f>T31/(Parameter!$C$8*E31)</f>
        <v/>
      </c>
      <c r="BL31" s="41">
        <f>BL30+BK31</f>
        <v/>
      </c>
    </row>
    <row r="32">
      <c r="A32" s="30">
        <f>2026+24</f>
        <v/>
      </c>
      <c r="B32" s="30">
        <f>Eingaben!$C$5+24</f>
        <v/>
      </c>
      <c r="C32" s="30">
        <f>IF(AND(B32&lt;Eingaben!$C$8,B32&lt;Eingaben!$C$6),1,0)</f>
        <v/>
      </c>
      <c r="D32" s="30">
        <f>IF(B32&lt;Eingaben!$C$6,1,0)</f>
        <v/>
      </c>
      <c r="E32" s="38">
        <f>(1+Eingaben!$C$13)^24</f>
        <v/>
      </c>
      <c r="F32" s="38">
        <f>(1+Eingaben!$C$17)^24</f>
        <v/>
      </c>
      <c r="G32" s="39">
        <f>IF(B32&gt;=Eingaben!$C$9,Eingaben!$C$10,1)</f>
        <v/>
      </c>
      <c r="H32" s="40">
        <f>Eingaben!$C$12*E32*G32*C32</f>
        <v/>
      </c>
      <c r="I32" s="40">
        <f>Parameter!$C$4*E32</f>
        <v/>
      </c>
      <c r="J32" s="40">
        <f>Parameter!$C$5*E32</f>
        <v/>
      </c>
      <c r="K32" s="40">
        <f>MIN(H32,12*(IF(Eingaben!$C$22=2,Umrechnung!$C$54,Eingaben!$C$23))*IF(Eingaben!$C$25=1,E32,1))*C32</f>
        <v/>
      </c>
      <c r="L32" s="40">
        <f>MIN(K32,MAX(0,Parameter!$C$42*I32-P32))</f>
        <v/>
      </c>
      <c r="M32" s="40">
        <f>MIN(K32,MAX(0,Parameter!$C$43*I32-N32))</f>
        <v/>
      </c>
      <c r="N32" s="40">
        <f>C32*IF(K32/12+0.000000001&lt;Eingaben!$C$29,0,12*Eingaben!$C$27*IF(Eingaben!$C$28=1,E32,1))</f>
        <v/>
      </c>
      <c r="O32" s="40">
        <f>IF(Eingaben!$C$30=2,MIN(Eingaben!$C$26*K32,W32),Eingaben!$C$26*IF(Eingaben!$C$30=1,M32,K32))</f>
        <v/>
      </c>
      <c r="P32" s="40">
        <f>O32+N32</f>
        <v/>
      </c>
      <c r="Q32" s="40">
        <f>K32+P32</f>
        <v/>
      </c>
      <c r="R32" s="40">
        <f>MIN(Q32,Parameter!$C$42*I32)</f>
        <v/>
      </c>
      <c r="S32" s="40">
        <f>Q32-R32</f>
        <v/>
      </c>
      <c r="T32" s="40">
        <f>MIN(H32,I32)-MIN(H32-M32,I32)</f>
        <v/>
      </c>
      <c r="U32" s="40">
        <f>MIN(H32,J32)-MIN(H32-M32,J32)</f>
        <v/>
      </c>
      <c r="V32" s="40">
        <f>T32*(Parameter!$C$10+Parameter!$C$11)+U32*((Parameter!$C$12+Parameter!$C$13)/2+Parameter!$C$58)</f>
        <v/>
      </c>
      <c r="W32" s="40">
        <f>T32*(Parameter!$C$10+Parameter!$C$11)+U32*((Parameter!$C$12+Parameter!$C$13)/2+Parameter!$C$15)</f>
        <v/>
      </c>
      <c r="X32" s="40">
        <f>MIN(H32,I32)*Parameter!$C$10+MIN(H32,J32)*(0.96*(Parameter!$C$12+Parameter!$C$13)/2+Parameter!$C$58)</f>
        <v/>
      </c>
      <c r="Y32" s="40">
        <f>MIN(H32-M32,I32)*Parameter!$C$10+MIN(H32-M32,J32)*(0.96*(Parameter!$C$12+Parameter!$C$13)/2+Parameter!$C$58)</f>
        <v/>
      </c>
      <c r="Z32" s="40">
        <f>MAX(0,H32-Parameter!$C$32*F32-Parameter!$C$33-X32)</f>
        <v/>
      </c>
      <c r="AA32" s="40">
        <f>MAX(0,H32-L32-Parameter!$C$32*F32-Parameter!$C$33-Y32)</f>
        <v/>
      </c>
      <c r="AB32" s="40">
        <f>MAX(0,(Z32+IF(Eingaben!$C$14=3,Eingaben!$C$15,0))/Parameter!$C$57/F32)</f>
        <v/>
      </c>
      <c r="AC32" s="40">
        <f>Parameter!$C$57*F32*(IF(AB32&lt;=Parameter!$C$18,0,IF(AB32&lt;=Parameter!$C$19,(Parameter!$C$22*(AB32-Parameter!$C$18)/10000+Parameter!$C$23)*(AB32-Parameter!$C$18)/10000,IF(AB32&lt;=Parameter!$C$20,(Parameter!$C$24*(AB32-Parameter!$C$19)/10000+Parameter!$C$25)*(AB32-Parameter!$C$19)/10000+Parameter!$C$26,IF(AB32&lt;=Parameter!$C$21,0.42*AB32-Parameter!$C$27,0.45*AB32-Parameter!$C$28)))))</f>
        <v/>
      </c>
      <c r="AD32" s="40">
        <f>AC32+IF(AC32&lt;=(Parameter!$C$30*Parameter!$C$57*F32),0,MIN(Parameter!$C$29*AC32,Parameter!$C$31*(AC32-(Parameter!$C$30*Parameter!$C$57*F32))))+Eingaben!$C$16*AC32</f>
        <v/>
      </c>
      <c r="AE32" s="40">
        <f>MAX(0,(AA32+IF(Eingaben!$C$14=3,Eingaben!$C$15,0))/Parameter!$C$57/F32)</f>
        <v/>
      </c>
      <c r="AF32" s="40">
        <f>Parameter!$C$57*F32*(IF(AE32&lt;=Parameter!$C$18,0,IF(AE32&lt;=Parameter!$C$19,(Parameter!$C$22*(AE32-Parameter!$C$18)/10000+Parameter!$C$23)*(AE32-Parameter!$C$18)/10000,IF(AE32&lt;=Parameter!$C$20,(Parameter!$C$24*(AE32-Parameter!$C$19)/10000+Parameter!$C$25)*(AE32-Parameter!$C$19)/10000+Parameter!$C$26,IF(AE32&lt;=Parameter!$C$21,0.42*AE32-Parameter!$C$27,0.45*AE32-Parameter!$C$28)))))</f>
        <v/>
      </c>
      <c r="AG32" s="40">
        <f>AF32+IF(AF32&lt;=(Parameter!$C$30*Parameter!$C$57*F32),0,MIN(Parameter!$C$29*AF32,Parameter!$C$31*(AF32-(Parameter!$C$30*Parameter!$C$57*F32))))+Eingaben!$C$16*AF32</f>
        <v/>
      </c>
      <c r="AH32" s="40">
        <f>AD32-AG32</f>
        <v/>
      </c>
      <c r="AI32" s="40">
        <f>MAX(0,K32-V32-AH32)</f>
        <v/>
      </c>
      <c r="AJ32" s="40">
        <f>MIN(AI32,Parameter!$C$49)</f>
        <v/>
      </c>
      <c r="AK32" s="40">
        <f>Parameter!$C$44*MIN(AJ32,Parameter!$C$45)+Parameter!$C$46*MAX(0,MIN(AJ32,Parameter!$C$47)-Parameter!$C$45)</f>
        <v/>
      </c>
      <c r="AL32" s="40">
        <f>MIN(AJ32,Parameter!$C$48)*Eingaben!$C$18*IF(24&lt;Eingaben!$C$19,1,0)</f>
        <v/>
      </c>
      <c r="AM32" s="40">
        <f>MIN(AK32+AL32,MAX(0,Parameter!$C$49-AJ32))</f>
        <v/>
      </c>
      <c r="AN32" s="40">
        <f>MIN(MIN(AJ32,Parameter!$C$47)+AM32,Parameter!$C$50)</f>
        <v/>
      </c>
      <c r="AO32" s="40">
        <f>MAX(0,Z32-AN32)</f>
        <v/>
      </c>
      <c r="AP32" s="40">
        <f>MAX(0,(AO32+IF(Eingaben!$C$14=3,Eingaben!$C$15,0))/Parameter!$C$57/F32)</f>
        <v/>
      </c>
      <c r="AQ32" s="40">
        <f>Parameter!$C$57*F32*(IF(AP32&lt;=Parameter!$C$18,0,IF(AP32&lt;=Parameter!$C$19,(Parameter!$C$22*(AP32-Parameter!$C$18)/10000+Parameter!$C$23)*(AP32-Parameter!$C$18)/10000,IF(AP32&lt;=Parameter!$C$20,(Parameter!$C$24*(AP32-Parameter!$C$19)/10000+Parameter!$C$25)*(AP32-Parameter!$C$19)/10000+Parameter!$C$26,IF(AP32&lt;=Parameter!$C$21,0.42*AP32-Parameter!$C$27,0.45*AP32-Parameter!$C$28)))))</f>
        <v/>
      </c>
      <c r="AR32" s="40">
        <f>AQ32+IF(AQ32&lt;=(Parameter!$C$30*Parameter!$C$57*F32),0,MIN(Parameter!$C$29*AQ32,Parameter!$C$31*(AQ32-(Parameter!$C$30*Parameter!$C$57*F32))))+Eingaben!$C$16*AQ32</f>
        <v/>
      </c>
      <c r="AS32" s="40">
        <f>AD32-AR32</f>
        <v/>
      </c>
      <c r="AT32" s="40">
        <f>MAX(0,AS32-AM32)</f>
        <v/>
      </c>
      <c r="AU32" s="40">
        <f>MIN(AJ32,Parameter!$C$47)+AM32</f>
        <v/>
      </c>
      <c r="AV32" s="40">
        <f>MAX(0,AJ32-Parameter!$C$47)+AT31</f>
        <v/>
      </c>
      <c r="AW32" s="40">
        <f>MAX(0,AI32-Parameter!$C$49)</f>
        <v/>
      </c>
      <c r="AX32" s="40">
        <f>AI32</f>
        <v/>
      </c>
      <c r="AY32" s="40">
        <f>IF(D32=0,AY31,AY31*(1+Parameter!$C$60)+R32*(1+Parameter!$C$60)^0.5)</f>
        <v/>
      </c>
      <c r="AZ32" s="40">
        <f>IF(D32=0,AZ31,AZ31*(1+Parameter!$C$60)+S32*(1+Parameter!$C$60)^0.5)</f>
        <v/>
      </c>
      <c r="BA32" s="40">
        <f>IF(D32=0,BA31,BA31*(1+Parameter!$C$61)+AU32*(1+Parameter!$C$61)^0.5)</f>
        <v/>
      </c>
      <c r="BB32" s="40">
        <f>IF(D32=0,BB31,BB31*(1+Parameter!$C$61)+AV32*(1+Parameter!$C$61)^0.5)</f>
        <v/>
      </c>
      <c r="BC32" s="40">
        <f>IF(D32=0,BC31,BC31*(1+Parameter!$C$62)+AW32*(1+Parameter!$C$62)^0.5-BF32)</f>
        <v/>
      </c>
      <c r="BD32" s="40">
        <f>IF(D32=0,BD31,BD31+AW32+BE32)</f>
        <v/>
      </c>
      <c r="BE32" s="40">
        <f>MAX(0,MIN(BC31*(1+Parameter!$C$62)+AW32*(1+Parameter!$C$62)^0.5-BC31-AW32,BC31*Parameter!$C$39*Parameter!$C$40))</f>
        <v/>
      </c>
      <c r="BF32" s="40">
        <f>MAX(0,BE32*(1-Parameter!$C$37)-Parameter!$C$67)*Parameter!$C$36</f>
        <v/>
      </c>
      <c r="BG32" s="40">
        <f>IF(D32=0,BG31,BG31*(1+Parameter!$C$62)+AX32*(1+Parameter!$C$62)^0.5-BJ32)</f>
        <v/>
      </c>
      <c r="BH32" s="40">
        <f>IF(D32=0,BH31,BH31+AX32+BI32)</f>
        <v/>
      </c>
      <c r="BI32" s="40">
        <f>MAX(0,MIN(BG31*(1+Parameter!$C$62)+AX32*(1+Parameter!$C$62)^0.5-BG31-AX32,BG31*Parameter!$C$39*Parameter!$C$40))</f>
        <v/>
      </c>
      <c r="BJ32" s="40">
        <f>MAX(0,BI32*(1-Parameter!$C$37)-Parameter!$C$67)*Parameter!$C$36</f>
        <v/>
      </c>
      <c r="BK32" s="38">
        <f>T32/(Parameter!$C$8*E32)</f>
        <v/>
      </c>
      <c r="BL32" s="38">
        <f>BL31+BK32</f>
        <v/>
      </c>
    </row>
    <row r="33">
      <c r="A33" s="32">
        <f>2026+25</f>
        <v/>
      </c>
      <c r="B33" s="32">
        <f>Eingaben!$C$5+25</f>
        <v/>
      </c>
      <c r="C33" s="32">
        <f>IF(AND(B33&lt;Eingaben!$C$8,B33&lt;Eingaben!$C$6),1,0)</f>
        <v/>
      </c>
      <c r="D33" s="32">
        <f>IF(B33&lt;Eingaben!$C$6,1,0)</f>
        <v/>
      </c>
      <c r="E33" s="41">
        <f>(1+Eingaben!$C$13)^25</f>
        <v/>
      </c>
      <c r="F33" s="41">
        <f>(1+Eingaben!$C$17)^25</f>
        <v/>
      </c>
      <c r="G33" s="42">
        <f>IF(B33&gt;=Eingaben!$C$9,Eingaben!$C$10,1)</f>
        <v/>
      </c>
      <c r="H33" s="43">
        <f>Eingaben!$C$12*E33*G33*C33</f>
        <v/>
      </c>
      <c r="I33" s="43">
        <f>Parameter!$C$4*E33</f>
        <v/>
      </c>
      <c r="J33" s="43">
        <f>Parameter!$C$5*E33</f>
        <v/>
      </c>
      <c r="K33" s="43">
        <f>MIN(H33,12*(IF(Eingaben!$C$22=2,Umrechnung!$C$54,Eingaben!$C$23))*IF(Eingaben!$C$25=1,E33,1))*C33</f>
        <v/>
      </c>
      <c r="L33" s="43">
        <f>MIN(K33,MAX(0,Parameter!$C$42*I33-P33))</f>
        <v/>
      </c>
      <c r="M33" s="43">
        <f>MIN(K33,MAX(0,Parameter!$C$43*I33-N33))</f>
        <v/>
      </c>
      <c r="N33" s="43">
        <f>C33*IF(K33/12+0.000000001&lt;Eingaben!$C$29,0,12*Eingaben!$C$27*IF(Eingaben!$C$28=1,E33,1))</f>
        <v/>
      </c>
      <c r="O33" s="43">
        <f>IF(Eingaben!$C$30=2,MIN(Eingaben!$C$26*K33,W33),Eingaben!$C$26*IF(Eingaben!$C$30=1,M33,K33))</f>
        <v/>
      </c>
      <c r="P33" s="43">
        <f>O33+N33</f>
        <v/>
      </c>
      <c r="Q33" s="43">
        <f>K33+P33</f>
        <v/>
      </c>
      <c r="R33" s="43">
        <f>MIN(Q33,Parameter!$C$42*I33)</f>
        <v/>
      </c>
      <c r="S33" s="43">
        <f>Q33-R33</f>
        <v/>
      </c>
      <c r="T33" s="43">
        <f>MIN(H33,I33)-MIN(H33-M33,I33)</f>
        <v/>
      </c>
      <c r="U33" s="43">
        <f>MIN(H33,J33)-MIN(H33-M33,J33)</f>
        <v/>
      </c>
      <c r="V33" s="43">
        <f>T33*(Parameter!$C$10+Parameter!$C$11)+U33*((Parameter!$C$12+Parameter!$C$13)/2+Parameter!$C$58)</f>
        <v/>
      </c>
      <c r="W33" s="43">
        <f>T33*(Parameter!$C$10+Parameter!$C$11)+U33*((Parameter!$C$12+Parameter!$C$13)/2+Parameter!$C$15)</f>
        <v/>
      </c>
      <c r="X33" s="43">
        <f>MIN(H33,I33)*Parameter!$C$10+MIN(H33,J33)*(0.96*(Parameter!$C$12+Parameter!$C$13)/2+Parameter!$C$58)</f>
        <v/>
      </c>
      <c r="Y33" s="43">
        <f>MIN(H33-M33,I33)*Parameter!$C$10+MIN(H33-M33,J33)*(0.96*(Parameter!$C$12+Parameter!$C$13)/2+Parameter!$C$58)</f>
        <v/>
      </c>
      <c r="Z33" s="43">
        <f>MAX(0,H33-Parameter!$C$32*F33-Parameter!$C$33-X33)</f>
        <v/>
      </c>
      <c r="AA33" s="43">
        <f>MAX(0,H33-L33-Parameter!$C$32*F33-Parameter!$C$33-Y33)</f>
        <v/>
      </c>
      <c r="AB33" s="43">
        <f>MAX(0,(Z33+IF(Eingaben!$C$14=3,Eingaben!$C$15,0))/Parameter!$C$57/F33)</f>
        <v/>
      </c>
      <c r="AC33" s="43">
        <f>Parameter!$C$57*F33*(IF(AB33&lt;=Parameter!$C$18,0,IF(AB33&lt;=Parameter!$C$19,(Parameter!$C$22*(AB33-Parameter!$C$18)/10000+Parameter!$C$23)*(AB33-Parameter!$C$18)/10000,IF(AB33&lt;=Parameter!$C$20,(Parameter!$C$24*(AB33-Parameter!$C$19)/10000+Parameter!$C$25)*(AB33-Parameter!$C$19)/10000+Parameter!$C$26,IF(AB33&lt;=Parameter!$C$21,0.42*AB33-Parameter!$C$27,0.45*AB33-Parameter!$C$28)))))</f>
        <v/>
      </c>
      <c r="AD33" s="43">
        <f>AC33+IF(AC33&lt;=(Parameter!$C$30*Parameter!$C$57*F33),0,MIN(Parameter!$C$29*AC33,Parameter!$C$31*(AC33-(Parameter!$C$30*Parameter!$C$57*F33))))+Eingaben!$C$16*AC33</f>
        <v/>
      </c>
      <c r="AE33" s="43">
        <f>MAX(0,(AA33+IF(Eingaben!$C$14=3,Eingaben!$C$15,0))/Parameter!$C$57/F33)</f>
        <v/>
      </c>
      <c r="AF33" s="43">
        <f>Parameter!$C$57*F33*(IF(AE33&lt;=Parameter!$C$18,0,IF(AE33&lt;=Parameter!$C$19,(Parameter!$C$22*(AE33-Parameter!$C$18)/10000+Parameter!$C$23)*(AE33-Parameter!$C$18)/10000,IF(AE33&lt;=Parameter!$C$20,(Parameter!$C$24*(AE33-Parameter!$C$19)/10000+Parameter!$C$25)*(AE33-Parameter!$C$19)/10000+Parameter!$C$26,IF(AE33&lt;=Parameter!$C$21,0.42*AE33-Parameter!$C$27,0.45*AE33-Parameter!$C$28)))))</f>
        <v/>
      </c>
      <c r="AG33" s="43">
        <f>AF33+IF(AF33&lt;=(Parameter!$C$30*Parameter!$C$57*F33),0,MIN(Parameter!$C$29*AF33,Parameter!$C$31*(AF33-(Parameter!$C$30*Parameter!$C$57*F33))))+Eingaben!$C$16*AF33</f>
        <v/>
      </c>
      <c r="AH33" s="43">
        <f>AD33-AG33</f>
        <v/>
      </c>
      <c r="AI33" s="43">
        <f>MAX(0,K33-V33-AH33)</f>
        <v/>
      </c>
      <c r="AJ33" s="43">
        <f>MIN(AI33,Parameter!$C$49)</f>
        <v/>
      </c>
      <c r="AK33" s="43">
        <f>Parameter!$C$44*MIN(AJ33,Parameter!$C$45)+Parameter!$C$46*MAX(0,MIN(AJ33,Parameter!$C$47)-Parameter!$C$45)</f>
        <v/>
      </c>
      <c r="AL33" s="43">
        <f>MIN(AJ33,Parameter!$C$48)*Eingaben!$C$18*IF(25&lt;Eingaben!$C$19,1,0)</f>
        <v/>
      </c>
      <c r="AM33" s="43">
        <f>MIN(AK33+AL33,MAX(0,Parameter!$C$49-AJ33))</f>
        <v/>
      </c>
      <c r="AN33" s="43">
        <f>MIN(MIN(AJ33,Parameter!$C$47)+AM33,Parameter!$C$50)</f>
        <v/>
      </c>
      <c r="AO33" s="43">
        <f>MAX(0,Z33-AN33)</f>
        <v/>
      </c>
      <c r="AP33" s="43">
        <f>MAX(0,(AO33+IF(Eingaben!$C$14=3,Eingaben!$C$15,0))/Parameter!$C$57/F33)</f>
        <v/>
      </c>
      <c r="AQ33" s="43">
        <f>Parameter!$C$57*F33*(IF(AP33&lt;=Parameter!$C$18,0,IF(AP33&lt;=Parameter!$C$19,(Parameter!$C$22*(AP33-Parameter!$C$18)/10000+Parameter!$C$23)*(AP33-Parameter!$C$18)/10000,IF(AP33&lt;=Parameter!$C$20,(Parameter!$C$24*(AP33-Parameter!$C$19)/10000+Parameter!$C$25)*(AP33-Parameter!$C$19)/10000+Parameter!$C$26,IF(AP33&lt;=Parameter!$C$21,0.42*AP33-Parameter!$C$27,0.45*AP33-Parameter!$C$28)))))</f>
        <v/>
      </c>
      <c r="AR33" s="43">
        <f>AQ33+IF(AQ33&lt;=(Parameter!$C$30*Parameter!$C$57*F33),0,MIN(Parameter!$C$29*AQ33,Parameter!$C$31*(AQ33-(Parameter!$C$30*Parameter!$C$57*F33))))+Eingaben!$C$16*AQ33</f>
        <v/>
      </c>
      <c r="AS33" s="43">
        <f>AD33-AR33</f>
        <v/>
      </c>
      <c r="AT33" s="43">
        <f>MAX(0,AS33-AM33)</f>
        <v/>
      </c>
      <c r="AU33" s="43">
        <f>MIN(AJ33,Parameter!$C$47)+AM33</f>
        <v/>
      </c>
      <c r="AV33" s="43">
        <f>MAX(0,AJ33-Parameter!$C$47)+AT32</f>
        <v/>
      </c>
      <c r="AW33" s="43">
        <f>MAX(0,AI33-Parameter!$C$49)</f>
        <v/>
      </c>
      <c r="AX33" s="43">
        <f>AI33</f>
        <v/>
      </c>
      <c r="AY33" s="43">
        <f>IF(D33=0,AY32,AY32*(1+Parameter!$C$60)+R33*(1+Parameter!$C$60)^0.5)</f>
        <v/>
      </c>
      <c r="AZ33" s="43">
        <f>IF(D33=0,AZ32,AZ32*(1+Parameter!$C$60)+S33*(1+Parameter!$C$60)^0.5)</f>
        <v/>
      </c>
      <c r="BA33" s="43">
        <f>IF(D33=0,BA32,BA32*(1+Parameter!$C$61)+AU33*(1+Parameter!$C$61)^0.5)</f>
        <v/>
      </c>
      <c r="BB33" s="43">
        <f>IF(D33=0,BB32,BB32*(1+Parameter!$C$61)+AV33*(1+Parameter!$C$61)^0.5)</f>
        <v/>
      </c>
      <c r="BC33" s="43">
        <f>IF(D33=0,BC32,BC32*(1+Parameter!$C$62)+AW33*(1+Parameter!$C$62)^0.5-BF33)</f>
        <v/>
      </c>
      <c r="BD33" s="43">
        <f>IF(D33=0,BD32,BD32+AW33+BE33)</f>
        <v/>
      </c>
      <c r="BE33" s="43">
        <f>MAX(0,MIN(BC32*(1+Parameter!$C$62)+AW33*(1+Parameter!$C$62)^0.5-BC32-AW33,BC32*Parameter!$C$39*Parameter!$C$40))</f>
        <v/>
      </c>
      <c r="BF33" s="43">
        <f>MAX(0,BE33*(1-Parameter!$C$37)-Parameter!$C$67)*Parameter!$C$36</f>
        <v/>
      </c>
      <c r="BG33" s="43">
        <f>IF(D33=0,BG32,BG32*(1+Parameter!$C$62)+AX33*(1+Parameter!$C$62)^0.5-BJ33)</f>
        <v/>
      </c>
      <c r="BH33" s="43">
        <f>IF(D33=0,BH32,BH32+AX33+BI33)</f>
        <v/>
      </c>
      <c r="BI33" s="43">
        <f>MAX(0,MIN(BG32*(1+Parameter!$C$62)+AX33*(1+Parameter!$C$62)^0.5-BG32-AX33,BG32*Parameter!$C$39*Parameter!$C$40))</f>
        <v/>
      </c>
      <c r="BJ33" s="43">
        <f>MAX(0,BI33*(1-Parameter!$C$37)-Parameter!$C$67)*Parameter!$C$36</f>
        <v/>
      </c>
      <c r="BK33" s="41">
        <f>T33/(Parameter!$C$8*E33)</f>
        <v/>
      </c>
      <c r="BL33" s="41">
        <f>BL32+BK33</f>
        <v/>
      </c>
    </row>
    <row r="34">
      <c r="A34" s="30">
        <f>2026+26</f>
        <v/>
      </c>
      <c r="B34" s="30">
        <f>Eingaben!$C$5+26</f>
        <v/>
      </c>
      <c r="C34" s="30">
        <f>IF(AND(B34&lt;Eingaben!$C$8,B34&lt;Eingaben!$C$6),1,0)</f>
        <v/>
      </c>
      <c r="D34" s="30">
        <f>IF(B34&lt;Eingaben!$C$6,1,0)</f>
        <v/>
      </c>
      <c r="E34" s="38">
        <f>(1+Eingaben!$C$13)^26</f>
        <v/>
      </c>
      <c r="F34" s="38">
        <f>(1+Eingaben!$C$17)^26</f>
        <v/>
      </c>
      <c r="G34" s="39">
        <f>IF(B34&gt;=Eingaben!$C$9,Eingaben!$C$10,1)</f>
        <v/>
      </c>
      <c r="H34" s="40">
        <f>Eingaben!$C$12*E34*G34*C34</f>
        <v/>
      </c>
      <c r="I34" s="40">
        <f>Parameter!$C$4*E34</f>
        <v/>
      </c>
      <c r="J34" s="40">
        <f>Parameter!$C$5*E34</f>
        <v/>
      </c>
      <c r="K34" s="40">
        <f>MIN(H34,12*(IF(Eingaben!$C$22=2,Umrechnung!$C$54,Eingaben!$C$23))*IF(Eingaben!$C$25=1,E34,1))*C34</f>
        <v/>
      </c>
      <c r="L34" s="40">
        <f>MIN(K34,MAX(0,Parameter!$C$42*I34-P34))</f>
        <v/>
      </c>
      <c r="M34" s="40">
        <f>MIN(K34,MAX(0,Parameter!$C$43*I34-N34))</f>
        <v/>
      </c>
      <c r="N34" s="40">
        <f>C34*IF(K34/12+0.000000001&lt;Eingaben!$C$29,0,12*Eingaben!$C$27*IF(Eingaben!$C$28=1,E34,1))</f>
        <v/>
      </c>
      <c r="O34" s="40">
        <f>IF(Eingaben!$C$30=2,MIN(Eingaben!$C$26*K34,W34),Eingaben!$C$26*IF(Eingaben!$C$30=1,M34,K34))</f>
        <v/>
      </c>
      <c r="P34" s="40">
        <f>O34+N34</f>
        <v/>
      </c>
      <c r="Q34" s="40">
        <f>K34+P34</f>
        <v/>
      </c>
      <c r="R34" s="40">
        <f>MIN(Q34,Parameter!$C$42*I34)</f>
        <v/>
      </c>
      <c r="S34" s="40">
        <f>Q34-R34</f>
        <v/>
      </c>
      <c r="T34" s="40">
        <f>MIN(H34,I34)-MIN(H34-M34,I34)</f>
        <v/>
      </c>
      <c r="U34" s="40">
        <f>MIN(H34,J34)-MIN(H34-M34,J34)</f>
        <v/>
      </c>
      <c r="V34" s="40">
        <f>T34*(Parameter!$C$10+Parameter!$C$11)+U34*((Parameter!$C$12+Parameter!$C$13)/2+Parameter!$C$58)</f>
        <v/>
      </c>
      <c r="W34" s="40">
        <f>T34*(Parameter!$C$10+Parameter!$C$11)+U34*((Parameter!$C$12+Parameter!$C$13)/2+Parameter!$C$15)</f>
        <v/>
      </c>
      <c r="X34" s="40">
        <f>MIN(H34,I34)*Parameter!$C$10+MIN(H34,J34)*(0.96*(Parameter!$C$12+Parameter!$C$13)/2+Parameter!$C$58)</f>
        <v/>
      </c>
      <c r="Y34" s="40">
        <f>MIN(H34-M34,I34)*Parameter!$C$10+MIN(H34-M34,J34)*(0.96*(Parameter!$C$12+Parameter!$C$13)/2+Parameter!$C$58)</f>
        <v/>
      </c>
      <c r="Z34" s="40">
        <f>MAX(0,H34-Parameter!$C$32*F34-Parameter!$C$33-X34)</f>
        <v/>
      </c>
      <c r="AA34" s="40">
        <f>MAX(0,H34-L34-Parameter!$C$32*F34-Parameter!$C$33-Y34)</f>
        <v/>
      </c>
      <c r="AB34" s="40">
        <f>MAX(0,(Z34+IF(Eingaben!$C$14=3,Eingaben!$C$15,0))/Parameter!$C$57/F34)</f>
        <v/>
      </c>
      <c r="AC34" s="40">
        <f>Parameter!$C$57*F34*(IF(AB34&lt;=Parameter!$C$18,0,IF(AB34&lt;=Parameter!$C$19,(Parameter!$C$22*(AB34-Parameter!$C$18)/10000+Parameter!$C$23)*(AB34-Parameter!$C$18)/10000,IF(AB34&lt;=Parameter!$C$20,(Parameter!$C$24*(AB34-Parameter!$C$19)/10000+Parameter!$C$25)*(AB34-Parameter!$C$19)/10000+Parameter!$C$26,IF(AB34&lt;=Parameter!$C$21,0.42*AB34-Parameter!$C$27,0.45*AB34-Parameter!$C$28)))))</f>
        <v/>
      </c>
      <c r="AD34" s="40">
        <f>AC34+IF(AC34&lt;=(Parameter!$C$30*Parameter!$C$57*F34),0,MIN(Parameter!$C$29*AC34,Parameter!$C$31*(AC34-(Parameter!$C$30*Parameter!$C$57*F34))))+Eingaben!$C$16*AC34</f>
        <v/>
      </c>
      <c r="AE34" s="40">
        <f>MAX(0,(AA34+IF(Eingaben!$C$14=3,Eingaben!$C$15,0))/Parameter!$C$57/F34)</f>
        <v/>
      </c>
      <c r="AF34" s="40">
        <f>Parameter!$C$57*F34*(IF(AE34&lt;=Parameter!$C$18,0,IF(AE34&lt;=Parameter!$C$19,(Parameter!$C$22*(AE34-Parameter!$C$18)/10000+Parameter!$C$23)*(AE34-Parameter!$C$18)/10000,IF(AE34&lt;=Parameter!$C$20,(Parameter!$C$24*(AE34-Parameter!$C$19)/10000+Parameter!$C$25)*(AE34-Parameter!$C$19)/10000+Parameter!$C$26,IF(AE34&lt;=Parameter!$C$21,0.42*AE34-Parameter!$C$27,0.45*AE34-Parameter!$C$28)))))</f>
        <v/>
      </c>
      <c r="AG34" s="40">
        <f>AF34+IF(AF34&lt;=(Parameter!$C$30*Parameter!$C$57*F34),0,MIN(Parameter!$C$29*AF34,Parameter!$C$31*(AF34-(Parameter!$C$30*Parameter!$C$57*F34))))+Eingaben!$C$16*AF34</f>
        <v/>
      </c>
      <c r="AH34" s="40">
        <f>AD34-AG34</f>
        <v/>
      </c>
      <c r="AI34" s="40">
        <f>MAX(0,K34-V34-AH34)</f>
        <v/>
      </c>
      <c r="AJ34" s="40">
        <f>MIN(AI34,Parameter!$C$49)</f>
        <v/>
      </c>
      <c r="AK34" s="40">
        <f>Parameter!$C$44*MIN(AJ34,Parameter!$C$45)+Parameter!$C$46*MAX(0,MIN(AJ34,Parameter!$C$47)-Parameter!$C$45)</f>
        <v/>
      </c>
      <c r="AL34" s="40">
        <f>MIN(AJ34,Parameter!$C$48)*Eingaben!$C$18*IF(26&lt;Eingaben!$C$19,1,0)</f>
        <v/>
      </c>
      <c r="AM34" s="40">
        <f>MIN(AK34+AL34,MAX(0,Parameter!$C$49-AJ34))</f>
        <v/>
      </c>
      <c r="AN34" s="40">
        <f>MIN(MIN(AJ34,Parameter!$C$47)+AM34,Parameter!$C$50)</f>
        <v/>
      </c>
      <c r="AO34" s="40">
        <f>MAX(0,Z34-AN34)</f>
        <v/>
      </c>
      <c r="AP34" s="40">
        <f>MAX(0,(AO34+IF(Eingaben!$C$14=3,Eingaben!$C$15,0))/Parameter!$C$57/F34)</f>
        <v/>
      </c>
      <c r="AQ34" s="40">
        <f>Parameter!$C$57*F34*(IF(AP34&lt;=Parameter!$C$18,0,IF(AP34&lt;=Parameter!$C$19,(Parameter!$C$22*(AP34-Parameter!$C$18)/10000+Parameter!$C$23)*(AP34-Parameter!$C$18)/10000,IF(AP34&lt;=Parameter!$C$20,(Parameter!$C$24*(AP34-Parameter!$C$19)/10000+Parameter!$C$25)*(AP34-Parameter!$C$19)/10000+Parameter!$C$26,IF(AP34&lt;=Parameter!$C$21,0.42*AP34-Parameter!$C$27,0.45*AP34-Parameter!$C$28)))))</f>
        <v/>
      </c>
      <c r="AR34" s="40">
        <f>AQ34+IF(AQ34&lt;=(Parameter!$C$30*Parameter!$C$57*F34),0,MIN(Parameter!$C$29*AQ34,Parameter!$C$31*(AQ34-(Parameter!$C$30*Parameter!$C$57*F34))))+Eingaben!$C$16*AQ34</f>
        <v/>
      </c>
      <c r="AS34" s="40">
        <f>AD34-AR34</f>
        <v/>
      </c>
      <c r="AT34" s="40">
        <f>MAX(0,AS34-AM34)</f>
        <v/>
      </c>
      <c r="AU34" s="40">
        <f>MIN(AJ34,Parameter!$C$47)+AM34</f>
        <v/>
      </c>
      <c r="AV34" s="40">
        <f>MAX(0,AJ34-Parameter!$C$47)+AT33</f>
        <v/>
      </c>
      <c r="AW34" s="40">
        <f>MAX(0,AI34-Parameter!$C$49)</f>
        <v/>
      </c>
      <c r="AX34" s="40">
        <f>AI34</f>
        <v/>
      </c>
      <c r="AY34" s="40">
        <f>IF(D34=0,AY33,AY33*(1+Parameter!$C$60)+R34*(1+Parameter!$C$60)^0.5)</f>
        <v/>
      </c>
      <c r="AZ34" s="40">
        <f>IF(D34=0,AZ33,AZ33*(1+Parameter!$C$60)+S34*(1+Parameter!$C$60)^0.5)</f>
        <v/>
      </c>
      <c r="BA34" s="40">
        <f>IF(D34=0,BA33,BA33*(1+Parameter!$C$61)+AU34*(1+Parameter!$C$61)^0.5)</f>
        <v/>
      </c>
      <c r="BB34" s="40">
        <f>IF(D34=0,BB33,BB33*(1+Parameter!$C$61)+AV34*(1+Parameter!$C$61)^0.5)</f>
        <v/>
      </c>
      <c r="BC34" s="40">
        <f>IF(D34=0,BC33,BC33*(1+Parameter!$C$62)+AW34*(1+Parameter!$C$62)^0.5-BF34)</f>
        <v/>
      </c>
      <c r="BD34" s="40">
        <f>IF(D34=0,BD33,BD33+AW34+BE34)</f>
        <v/>
      </c>
      <c r="BE34" s="40">
        <f>MAX(0,MIN(BC33*(1+Parameter!$C$62)+AW34*(1+Parameter!$C$62)^0.5-BC33-AW34,BC33*Parameter!$C$39*Parameter!$C$40))</f>
        <v/>
      </c>
      <c r="BF34" s="40">
        <f>MAX(0,BE34*(1-Parameter!$C$37)-Parameter!$C$67)*Parameter!$C$36</f>
        <v/>
      </c>
      <c r="BG34" s="40">
        <f>IF(D34=0,BG33,BG33*(1+Parameter!$C$62)+AX34*(1+Parameter!$C$62)^0.5-BJ34)</f>
        <v/>
      </c>
      <c r="BH34" s="40">
        <f>IF(D34=0,BH33,BH33+AX34+BI34)</f>
        <v/>
      </c>
      <c r="BI34" s="40">
        <f>MAX(0,MIN(BG33*(1+Parameter!$C$62)+AX34*(1+Parameter!$C$62)^0.5-BG33-AX34,BG33*Parameter!$C$39*Parameter!$C$40))</f>
        <v/>
      </c>
      <c r="BJ34" s="40">
        <f>MAX(0,BI34*(1-Parameter!$C$37)-Parameter!$C$67)*Parameter!$C$36</f>
        <v/>
      </c>
      <c r="BK34" s="38">
        <f>T34/(Parameter!$C$8*E34)</f>
        <v/>
      </c>
      <c r="BL34" s="38">
        <f>BL33+BK34</f>
        <v/>
      </c>
    </row>
    <row r="35">
      <c r="A35" s="32">
        <f>2026+27</f>
        <v/>
      </c>
      <c r="B35" s="32">
        <f>Eingaben!$C$5+27</f>
        <v/>
      </c>
      <c r="C35" s="32">
        <f>IF(AND(B35&lt;Eingaben!$C$8,B35&lt;Eingaben!$C$6),1,0)</f>
        <v/>
      </c>
      <c r="D35" s="32">
        <f>IF(B35&lt;Eingaben!$C$6,1,0)</f>
        <v/>
      </c>
      <c r="E35" s="41">
        <f>(1+Eingaben!$C$13)^27</f>
        <v/>
      </c>
      <c r="F35" s="41">
        <f>(1+Eingaben!$C$17)^27</f>
        <v/>
      </c>
      <c r="G35" s="42">
        <f>IF(B35&gt;=Eingaben!$C$9,Eingaben!$C$10,1)</f>
        <v/>
      </c>
      <c r="H35" s="43">
        <f>Eingaben!$C$12*E35*G35*C35</f>
        <v/>
      </c>
      <c r="I35" s="43">
        <f>Parameter!$C$4*E35</f>
        <v/>
      </c>
      <c r="J35" s="43">
        <f>Parameter!$C$5*E35</f>
        <v/>
      </c>
      <c r="K35" s="43">
        <f>MIN(H35,12*(IF(Eingaben!$C$22=2,Umrechnung!$C$54,Eingaben!$C$23))*IF(Eingaben!$C$25=1,E35,1))*C35</f>
        <v/>
      </c>
      <c r="L35" s="43">
        <f>MIN(K35,MAX(0,Parameter!$C$42*I35-P35))</f>
        <v/>
      </c>
      <c r="M35" s="43">
        <f>MIN(K35,MAX(0,Parameter!$C$43*I35-N35))</f>
        <v/>
      </c>
      <c r="N35" s="43">
        <f>C35*IF(K35/12+0.000000001&lt;Eingaben!$C$29,0,12*Eingaben!$C$27*IF(Eingaben!$C$28=1,E35,1))</f>
        <v/>
      </c>
      <c r="O35" s="43">
        <f>IF(Eingaben!$C$30=2,MIN(Eingaben!$C$26*K35,W35),Eingaben!$C$26*IF(Eingaben!$C$30=1,M35,K35))</f>
        <v/>
      </c>
      <c r="P35" s="43">
        <f>O35+N35</f>
        <v/>
      </c>
      <c r="Q35" s="43">
        <f>K35+P35</f>
        <v/>
      </c>
      <c r="R35" s="43">
        <f>MIN(Q35,Parameter!$C$42*I35)</f>
        <v/>
      </c>
      <c r="S35" s="43">
        <f>Q35-R35</f>
        <v/>
      </c>
      <c r="T35" s="43">
        <f>MIN(H35,I35)-MIN(H35-M35,I35)</f>
        <v/>
      </c>
      <c r="U35" s="43">
        <f>MIN(H35,J35)-MIN(H35-M35,J35)</f>
        <v/>
      </c>
      <c r="V35" s="43">
        <f>T35*(Parameter!$C$10+Parameter!$C$11)+U35*((Parameter!$C$12+Parameter!$C$13)/2+Parameter!$C$58)</f>
        <v/>
      </c>
      <c r="W35" s="43">
        <f>T35*(Parameter!$C$10+Parameter!$C$11)+U35*((Parameter!$C$12+Parameter!$C$13)/2+Parameter!$C$15)</f>
        <v/>
      </c>
      <c r="X35" s="43">
        <f>MIN(H35,I35)*Parameter!$C$10+MIN(H35,J35)*(0.96*(Parameter!$C$12+Parameter!$C$13)/2+Parameter!$C$58)</f>
        <v/>
      </c>
      <c r="Y35" s="43">
        <f>MIN(H35-M35,I35)*Parameter!$C$10+MIN(H35-M35,J35)*(0.96*(Parameter!$C$12+Parameter!$C$13)/2+Parameter!$C$58)</f>
        <v/>
      </c>
      <c r="Z35" s="43">
        <f>MAX(0,H35-Parameter!$C$32*F35-Parameter!$C$33-X35)</f>
        <v/>
      </c>
      <c r="AA35" s="43">
        <f>MAX(0,H35-L35-Parameter!$C$32*F35-Parameter!$C$33-Y35)</f>
        <v/>
      </c>
      <c r="AB35" s="43">
        <f>MAX(0,(Z35+IF(Eingaben!$C$14=3,Eingaben!$C$15,0))/Parameter!$C$57/F35)</f>
        <v/>
      </c>
      <c r="AC35" s="43">
        <f>Parameter!$C$57*F35*(IF(AB35&lt;=Parameter!$C$18,0,IF(AB35&lt;=Parameter!$C$19,(Parameter!$C$22*(AB35-Parameter!$C$18)/10000+Parameter!$C$23)*(AB35-Parameter!$C$18)/10000,IF(AB35&lt;=Parameter!$C$20,(Parameter!$C$24*(AB35-Parameter!$C$19)/10000+Parameter!$C$25)*(AB35-Parameter!$C$19)/10000+Parameter!$C$26,IF(AB35&lt;=Parameter!$C$21,0.42*AB35-Parameter!$C$27,0.45*AB35-Parameter!$C$28)))))</f>
        <v/>
      </c>
      <c r="AD35" s="43">
        <f>AC35+IF(AC35&lt;=(Parameter!$C$30*Parameter!$C$57*F35),0,MIN(Parameter!$C$29*AC35,Parameter!$C$31*(AC35-(Parameter!$C$30*Parameter!$C$57*F35))))+Eingaben!$C$16*AC35</f>
        <v/>
      </c>
      <c r="AE35" s="43">
        <f>MAX(0,(AA35+IF(Eingaben!$C$14=3,Eingaben!$C$15,0))/Parameter!$C$57/F35)</f>
        <v/>
      </c>
      <c r="AF35" s="43">
        <f>Parameter!$C$57*F35*(IF(AE35&lt;=Parameter!$C$18,0,IF(AE35&lt;=Parameter!$C$19,(Parameter!$C$22*(AE35-Parameter!$C$18)/10000+Parameter!$C$23)*(AE35-Parameter!$C$18)/10000,IF(AE35&lt;=Parameter!$C$20,(Parameter!$C$24*(AE35-Parameter!$C$19)/10000+Parameter!$C$25)*(AE35-Parameter!$C$19)/10000+Parameter!$C$26,IF(AE35&lt;=Parameter!$C$21,0.42*AE35-Parameter!$C$27,0.45*AE35-Parameter!$C$28)))))</f>
        <v/>
      </c>
      <c r="AG35" s="43">
        <f>AF35+IF(AF35&lt;=(Parameter!$C$30*Parameter!$C$57*F35),0,MIN(Parameter!$C$29*AF35,Parameter!$C$31*(AF35-(Parameter!$C$30*Parameter!$C$57*F35))))+Eingaben!$C$16*AF35</f>
        <v/>
      </c>
      <c r="AH35" s="43">
        <f>AD35-AG35</f>
        <v/>
      </c>
      <c r="AI35" s="43">
        <f>MAX(0,K35-V35-AH35)</f>
        <v/>
      </c>
      <c r="AJ35" s="43">
        <f>MIN(AI35,Parameter!$C$49)</f>
        <v/>
      </c>
      <c r="AK35" s="43">
        <f>Parameter!$C$44*MIN(AJ35,Parameter!$C$45)+Parameter!$C$46*MAX(0,MIN(AJ35,Parameter!$C$47)-Parameter!$C$45)</f>
        <v/>
      </c>
      <c r="AL35" s="43">
        <f>MIN(AJ35,Parameter!$C$48)*Eingaben!$C$18*IF(27&lt;Eingaben!$C$19,1,0)</f>
        <v/>
      </c>
      <c r="AM35" s="43">
        <f>MIN(AK35+AL35,MAX(0,Parameter!$C$49-AJ35))</f>
        <v/>
      </c>
      <c r="AN35" s="43">
        <f>MIN(MIN(AJ35,Parameter!$C$47)+AM35,Parameter!$C$50)</f>
        <v/>
      </c>
      <c r="AO35" s="43">
        <f>MAX(0,Z35-AN35)</f>
        <v/>
      </c>
      <c r="AP35" s="43">
        <f>MAX(0,(AO35+IF(Eingaben!$C$14=3,Eingaben!$C$15,0))/Parameter!$C$57/F35)</f>
        <v/>
      </c>
      <c r="AQ35" s="43">
        <f>Parameter!$C$57*F35*(IF(AP35&lt;=Parameter!$C$18,0,IF(AP35&lt;=Parameter!$C$19,(Parameter!$C$22*(AP35-Parameter!$C$18)/10000+Parameter!$C$23)*(AP35-Parameter!$C$18)/10000,IF(AP35&lt;=Parameter!$C$20,(Parameter!$C$24*(AP35-Parameter!$C$19)/10000+Parameter!$C$25)*(AP35-Parameter!$C$19)/10000+Parameter!$C$26,IF(AP35&lt;=Parameter!$C$21,0.42*AP35-Parameter!$C$27,0.45*AP35-Parameter!$C$28)))))</f>
        <v/>
      </c>
      <c r="AR35" s="43">
        <f>AQ35+IF(AQ35&lt;=(Parameter!$C$30*Parameter!$C$57*F35),0,MIN(Parameter!$C$29*AQ35,Parameter!$C$31*(AQ35-(Parameter!$C$30*Parameter!$C$57*F35))))+Eingaben!$C$16*AQ35</f>
        <v/>
      </c>
      <c r="AS35" s="43">
        <f>AD35-AR35</f>
        <v/>
      </c>
      <c r="AT35" s="43">
        <f>MAX(0,AS35-AM35)</f>
        <v/>
      </c>
      <c r="AU35" s="43">
        <f>MIN(AJ35,Parameter!$C$47)+AM35</f>
        <v/>
      </c>
      <c r="AV35" s="43">
        <f>MAX(0,AJ35-Parameter!$C$47)+AT34</f>
        <v/>
      </c>
      <c r="AW35" s="43">
        <f>MAX(0,AI35-Parameter!$C$49)</f>
        <v/>
      </c>
      <c r="AX35" s="43">
        <f>AI35</f>
        <v/>
      </c>
      <c r="AY35" s="43">
        <f>IF(D35=0,AY34,AY34*(1+Parameter!$C$60)+R35*(1+Parameter!$C$60)^0.5)</f>
        <v/>
      </c>
      <c r="AZ35" s="43">
        <f>IF(D35=0,AZ34,AZ34*(1+Parameter!$C$60)+S35*(1+Parameter!$C$60)^0.5)</f>
        <v/>
      </c>
      <c r="BA35" s="43">
        <f>IF(D35=0,BA34,BA34*(1+Parameter!$C$61)+AU35*(1+Parameter!$C$61)^0.5)</f>
        <v/>
      </c>
      <c r="BB35" s="43">
        <f>IF(D35=0,BB34,BB34*(1+Parameter!$C$61)+AV35*(1+Parameter!$C$61)^0.5)</f>
        <v/>
      </c>
      <c r="BC35" s="43">
        <f>IF(D35=0,BC34,BC34*(1+Parameter!$C$62)+AW35*(1+Parameter!$C$62)^0.5-BF35)</f>
        <v/>
      </c>
      <c r="BD35" s="43">
        <f>IF(D35=0,BD34,BD34+AW35+BE35)</f>
        <v/>
      </c>
      <c r="BE35" s="43">
        <f>MAX(0,MIN(BC34*(1+Parameter!$C$62)+AW35*(1+Parameter!$C$62)^0.5-BC34-AW35,BC34*Parameter!$C$39*Parameter!$C$40))</f>
        <v/>
      </c>
      <c r="BF35" s="43">
        <f>MAX(0,BE35*(1-Parameter!$C$37)-Parameter!$C$67)*Parameter!$C$36</f>
        <v/>
      </c>
      <c r="BG35" s="43">
        <f>IF(D35=0,BG34,BG34*(1+Parameter!$C$62)+AX35*(1+Parameter!$C$62)^0.5-BJ35)</f>
        <v/>
      </c>
      <c r="BH35" s="43">
        <f>IF(D35=0,BH34,BH34+AX35+BI35)</f>
        <v/>
      </c>
      <c r="BI35" s="43">
        <f>MAX(0,MIN(BG34*(1+Parameter!$C$62)+AX35*(1+Parameter!$C$62)^0.5-BG34-AX35,BG34*Parameter!$C$39*Parameter!$C$40))</f>
        <v/>
      </c>
      <c r="BJ35" s="43">
        <f>MAX(0,BI35*(1-Parameter!$C$37)-Parameter!$C$67)*Parameter!$C$36</f>
        <v/>
      </c>
      <c r="BK35" s="41">
        <f>T35/(Parameter!$C$8*E35)</f>
        <v/>
      </c>
      <c r="BL35" s="41">
        <f>BL34+BK35</f>
        <v/>
      </c>
    </row>
    <row r="36">
      <c r="A36" s="30">
        <f>2026+28</f>
        <v/>
      </c>
      <c r="B36" s="30">
        <f>Eingaben!$C$5+28</f>
        <v/>
      </c>
      <c r="C36" s="30">
        <f>IF(AND(B36&lt;Eingaben!$C$8,B36&lt;Eingaben!$C$6),1,0)</f>
        <v/>
      </c>
      <c r="D36" s="30">
        <f>IF(B36&lt;Eingaben!$C$6,1,0)</f>
        <v/>
      </c>
      <c r="E36" s="38">
        <f>(1+Eingaben!$C$13)^28</f>
        <v/>
      </c>
      <c r="F36" s="38">
        <f>(1+Eingaben!$C$17)^28</f>
        <v/>
      </c>
      <c r="G36" s="39">
        <f>IF(B36&gt;=Eingaben!$C$9,Eingaben!$C$10,1)</f>
        <v/>
      </c>
      <c r="H36" s="40">
        <f>Eingaben!$C$12*E36*G36*C36</f>
        <v/>
      </c>
      <c r="I36" s="40">
        <f>Parameter!$C$4*E36</f>
        <v/>
      </c>
      <c r="J36" s="40">
        <f>Parameter!$C$5*E36</f>
        <v/>
      </c>
      <c r="K36" s="40">
        <f>MIN(H36,12*(IF(Eingaben!$C$22=2,Umrechnung!$C$54,Eingaben!$C$23))*IF(Eingaben!$C$25=1,E36,1))*C36</f>
        <v/>
      </c>
      <c r="L36" s="40">
        <f>MIN(K36,MAX(0,Parameter!$C$42*I36-P36))</f>
        <v/>
      </c>
      <c r="M36" s="40">
        <f>MIN(K36,MAX(0,Parameter!$C$43*I36-N36))</f>
        <v/>
      </c>
      <c r="N36" s="40">
        <f>C36*IF(K36/12+0.000000001&lt;Eingaben!$C$29,0,12*Eingaben!$C$27*IF(Eingaben!$C$28=1,E36,1))</f>
        <v/>
      </c>
      <c r="O36" s="40">
        <f>IF(Eingaben!$C$30=2,MIN(Eingaben!$C$26*K36,W36),Eingaben!$C$26*IF(Eingaben!$C$30=1,M36,K36))</f>
        <v/>
      </c>
      <c r="P36" s="40">
        <f>O36+N36</f>
        <v/>
      </c>
      <c r="Q36" s="40">
        <f>K36+P36</f>
        <v/>
      </c>
      <c r="R36" s="40">
        <f>MIN(Q36,Parameter!$C$42*I36)</f>
        <v/>
      </c>
      <c r="S36" s="40">
        <f>Q36-R36</f>
        <v/>
      </c>
      <c r="T36" s="40">
        <f>MIN(H36,I36)-MIN(H36-M36,I36)</f>
        <v/>
      </c>
      <c r="U36" s="40">
        <f>MIN(H36,J36)-MIN(H36-M36,J36)</f>
        <v/>
      </c>
      <c r="V36" s="40">
        <f>T36*(Parameter!$C$10+Parameter!$C$11)+U36*((Parameter!$C$12+Parameter!$C$13)/2+Parameter!$C$58)</f>
        <v/>
      </c>
      <c r="W36" s="40">
        <f>T36*(Parameter!$C$10+Parameter!$C$11)+U36*((Parameter!$C$12+Parameter!$C$13)/2+Parameter!$C$15)</f>
        <v/>
      </c>
      <c r="X36" s="40">
        <f>MIN(H36,I36)*Parameter!$C$10+MIN(H36,J36)*(0.96*(Parameter!$C$12+Parameter!$C$13)/2+Parameter!$C$58)</f>
        <v/>
      </c>
      <c r="Y36" s="40">
        <f>MIN(H36-M36,I36)*Parameter!$C$10+MIN(H36-M36,J36)*(0.96*(Parameter!$C$12+Parameter!$C$13)/2+Parameter!$C$58)</f>
        <v/>
      </c>
      <c r="Z36" s="40">
        <f>MAX(0,H36-Parameter!$C$32*F36-Parameter!$C$33-X36)</f>
        <v/>
      </c>
      <c r="AA36" s="40">
        <f>MAX(0,H36-L36-Parameter!$C$32*F36-Parameter!$C$33-Y36)</f>
        <v/>
      </c>
      <c r="AB36" s="40">
        <f>MAX(0,(Z36+IF(Eingaben!$C$14=3,Eingaben!$C$15,0))/Parameter!$C$57/F36)</f>
        <v/>
      </c>
      <c r="AC36" s="40">
        <f>Parameter!$C$57*F36*(IF(AB36&lt;=Parameter!$C$18,0,IF(AB36&lt;=Parameter!$C$19,(Parameter!$C$22*(AB36-Parameter!$C$18)/10000+Parameter!$C$23)*(AB36-Parameter!$C$18)/10000,IF(AB36&lt;=Parameter!$C$20,(Parameter!$C$24*(AB36-Parameter!$C$19)/10000+Parameter!$C$25)*(AB36-Parameter!$C$19)/10000+Parameter!$C$26,IF(AB36&lt;=Parameter!$C$21,0.42*AB36-Parameter!$C$27,0.45*AB36-Parameter!$C$28)))))</f>
        <v/>
      </c>
      <c r="AD36" s="40">
        <f>AC36+IF(AC36&lt;=(Parameter!$C$30*Parameter!$C$57*F36),0,MIN(Parameter!$C$29*AC36,Parameter!$C$31*(AC36-(Parameter!$C$30*Parameter!$C$57*F36))))+Eingaben!$C$16*AC36</f>
        <v/>
      </c>
      <c r="AE36" s="40">
        <f>MAX(0,(AA36+IF(Eingaben!$C$14=3,Eingaben!$C$15,0))/Parameter!$C$57/F36)</f>
        <v/>
      </c>
      <c r="AF36" s="40">
        <f>Parameter!$C$57*F36*(IF(AE36&lt;=Parameter!$C$18,0,IF(AE36&lt;=Parameter!$C$19,(Parameter!$C$22*(AE36-Parameter!$C$18)/10000+Parameter!$C$23)*(AE36-Parameter!$C$18)/10000,IF(AE36&lt;=Parameter!$C$20,(Parameter!$C$24*(AE36-Parameter!$C$19)/10000+Parameter!$C$25)*(AE36-Parameter!$C$19)/10000+Parameter!$C$26,IF(AE36&lt;=Parameter!$C$21,0.42*AE36-Parameter!$C$27,0.45*AE36-Parameter!$C$28)))))</f>
        <v/>
      </c>
      <c r="AG36" s="40">
        <f>AF36+IF(AF36&lt;=(Parameter!$C$30*Parameter!$C$57*F36),0,MIN(Parameter!$C$29*AF36,Parameter!$C$31*(AF36-(Parameter!$C$30*Parameter!$C$57*F36))))+Eingaben!$C$16*AF36</f>
        <v/>
      </c>
      <c r="AH36" s="40">
        <f>AD36-AG36</f>
        <v/>
      </c>
      <c r="AI36" s="40">
        <f>MAX(0,K36-V36-AH36)</f>
        <v/>
      </c>
      <c r="AJ36" s="40">
        <f>MIN(AI36,Parameter!$C$49)</f>
        <v/>
      </c>
      <c r="AK36" s="40">
        <f>Parameter!$C$44*MIN(AJ36,Parameter!$C$45)+Parameter!$C$46*MAX(0,MIN(AJ36,Parameter!$C$47)-Parameter!$C$45)</f>
        <v/>
      </c>
      <c r="AL36" s="40">
        <f>MIN(AJ36,Parameter!$C$48)*Eingaben!$C$18*IF(28&lt;Eingaben!$C$19,1,0)</f>
        <v/>
      </c>
      <c r="AM36" s="40">
        <f>MIN(AK36+AL36,MAX(0,Parameter!$C$49-AJ36))</f>
        <v/>
      </c>
      <c r="AN36" s="40">
        <f>MIN(MIN(AJ36,Parameter!$C$47)+AM36,Parameter!$C$50)</f>
        <v/>
      </c>
      <c r="AO36" s="40">
        <f>MAX(0,Z36-AN36)</f>
        <v/>
      </c>
      <c r="AP36" s="40">
        <f>MAX(0,(AO36+IF(Eingaben!$C$14=3,Eingaben!$C$15,0))/Parameter!$C$57/F36)</f>
        <v/>
      </c>
      <c r="AQ36" s="40">
        <f>Parameter!$C$57*F36*(IF(AP36&lt;=Parameter!$C$18,0,IF(AP36&lt;=Parameter!$C$19,(Parameter!$C$22*(AP36-Parameter!$C$18)/10000+Parameter!$C$23)*(AP36-Parameter!$C$18)/10000,IF(AP36&lt;=Parameter!$C$20,(Parameter!$C$24*(AP36-Parameter!$C$19)/10000+Parameter!$C$25)*(AP36-Parameter!$C$19)/10000+Parameter!$C$26,IF(AP36&lt;=Parameter!$C$21,0.42*AP36-Parameter!$C$27,0.45*AP36-Parameter!$C$28)))))</f>
        <v/>
      </c>
      <c r="AR36" s="40">
        <f>AQ36+IF(AQ36&lt;=(Parameter!$C$30*Parameter!$C$57*F36),0,MIN(Parameter!$C$29*AQ36,Parameter!$C$31*(AQ36-(Parameter!$C$30*Parameter!$C$57*F36))))+Eingaben!$C$16*AQ36</f>
        <v/>
      </c>
      <c r="AS36" s="40">
        <f>AD36-AR36</f>
        <v/>
      </c>
      <c r="AT36" s="40">
        <f>MAX(0,AS36-AM36)</f>
        <v/>
      </c>
      <c r="AU36" s="40">
        <f>MIN(AJ36,Parameter!$C$47)+AM36</f>
        <v/>
      </c>
      <c r="AV36" s="40">
        <f>MAX(0,AJ36-Parameter!$C$47)+AT35</f>
        <v/>
      </c>
      <c r="AW36" s="40">
        <f>MAX(0,AI36-Parameter!$C$49)</f>
        <v/>
      </c>
      <c r="AX36" s="40">
        <f>AI36</f>
        <v/>
      </c>
      <c r="AY36" s="40">
        <f>IF(D36=0,AY35,AY35*(1+Parameter!$C$60)+R36*(1+Parameter!$C$60)^0.5)</f>
        <v/>
      </c>
      <c r="AZ36" s="40">
        <f>IF(D36=0,AZ35,AZ35*(1+Parameter!$C$60)+S36*(1+Parameter!$C$60)^0.5)</f>
        <v/>
      </c>
      <c r="BA36" s="40">
        <f>IF(D36=0,BA35,BA35*(1+Parameter!$C$61)+AU36*(1+Parameter!$C$61)^0.5)</f>
        <v/>
      </c>
      <c r="BB36" s="40">
        <f>IF(D36=0,BB35,BB35*(1+Parameter!$C$61)+AV36*(1+Parameter!$C$61)^0.5)</f>
        <v/>
      </c>
      <c r="BC36" s="40">
        <f>IF(D36=0,BC35,BC35*(1+Parameter!$C$62)+AW36*(1+Parameter!$C$62)^0.5-BF36)</f>
        <v/>
      </c>
      <c r="BD36" s="40">
        <f>IF(D36=0,BD35,BD35+AW36+BE36)</f>
        <v/>
      </c>
      <c r="BE36" s="40">
        <f>MAX(0,MIN(BC35*(1+Parameter!$C$62)+AW36*(1+Parameter!$C$62)^0.5-BC35-AW36,BC35*Parameter!$C$39*Parameter!$C$40))</f>
        <v/>
      </c>
      <c r="BF36" s="40">
        <f>MAX(0,BE36*(1-Parameter!$C$37)-Parameter!$C$67)*Parameter!$C$36</f>
        <v/>
      </c>
      <c r="BG36" s="40">
        <f>IF(D36=0,BG35,BG35*(1+Parameter!$C$62)+AX36*(1+Parameter!$C$62)^0.5-BJ36)</f>
        <v/>
      </c>
      <c r="BH36" s="40">
        <f>IF(D36=0,BH35,BH35+AX36+BI36)</f>
        <v/>
      </c>
      <c r="BI36" s="40">
        <f>MAX(0,MIN(BG35*(1+Parameter!$C$62)+AX36*(1+Parameter!$C$62)^0.5-BG35-AX36,BG35*Parameter!$C$39*Parameter!$C$40))</f>
        <v/>
      </c>
      <c r="BJ36" s="40">
        <f>MAX(0,BI36*(1-Parameter!$C$37)-Parameter!$C$67)*Parameter!$C$36</f>
        <v/>
      </c>
      <c r="BK36" s="38">
        <f>T36/(Parameter!$C$8*E36)</f>
        <v/>
      </c>
      <c r="BL36" s="38">
        <f>BL35+BK36</f>
        <v/>
      </c>
    </row>
    <row r="37">
      <c r="A37" s="32">
        <f>2026+29</f>
        <v/>
      </c>
      <c r="B37" s="32">
        <f>Eingaben!$C$5+29</f>
        <v/>
      </c>
      <c r="C37" s="32">
        <f>IF(AND(B37&lt;Eingaben!$C$8,B37&lt;Eingaben!$C$6),1,0)</f>
        <v/>
      </c>
      <c r="D37" s="32">
        <f>IF(B37&lt;Eingaben!$C$6,1,0)</f>
        <v/>
      </c>
      <c r="E37" s="41">
        <f>(1+Eingaben!$C$13)^29</f>
        <v/>
      </c>
      <c r="F37" s="41">
        <f>(1+Eingaben!$C$17)^29</f>
        <v/>
      </c>
      <c r="G37" s="42">
        <f>IF(B37&gt;=Eingaben!$C$9,Eingaben!$C$10,1)</f>
        <v/>
      </c>
      <c r="H37" s="43">
        <f>Eingaben!$C$12*E37*G37*C37</f>
        <v/>
      </c>
      <c r="I37" s="43">
        <f>Parameter!$C$4*E37</f>
        <v/>
      </c>
      <c r="J37" s="43">
        <f>Parameter!$C$5*E37</f>
        <v/>
      </c>
      <c r="K37" s="43">
        <f>MIN(H37,12*(IF(Eingaben!$C$22=2,Umrechnung!$C$54,Eingaben!$C$23))*IF(Eingaben!$C$25=1,E37,1))*C37</f>
        <v/>
      </c>
      <c r="L37" s="43">
        <f>MIN(K37,MAX(0,Parameter!$C$42*I37-P37))</f>
        <v/>
      </c>
      <c r="M37" s="43">
        <f>MIN(K37,MAX(0,Parameter!$C$43*I37-N37))</f>
        <v/>
      </c>
      <c r="N37" s="43">
        <f>C37*IF(K37/12+0.000000001&lt;Eingaben!$C$29,0,12*Eingaben!$C$27*IF(Eingaben!$C$28=1,E37,1))</f>
        <v/>
      </c>
      <c r="O37" s="43">
        <f>IF(Eingaben!$C$30=2,MIN(Eingaben!$C$26*K37,W37),Eingaben!$C$26*IF(Eingaben!$C$30=1,M37,K37))</f>
        <v/>
      </c>
      <c r="P37" s="43">
        <f>O37+N37</f>
        <v/>
      </c>
      <c r="Q37" s="43">
        <f>K37+P37</f>
        <v/>
      </c>
      <c r="R37" s="43">
        <f>MIN(Q37,Parameter!$C$42*I37)</f>
        <v/>
      </c>
      <c r="S37" s="43">
        <f>Q37-R37</f>
        <v/>
      </c>
      <c r="T37" s="43">
        <f>MIN(H37,I37)-MIN(H37-M37,I37)</f>
        <v/>
      </c>
      <c r="U37" s="43">
        <f>MIN(H37,J37)-MIN(H37-M37,J37)</f>
        <v/>
      </c>
      <c r="V37" s="43">
        <f>T37*(Parameter!$C$10+Parameter!$C$11)+U37*((Parameter!$C$12+Parameter!$C$13)/2+Parameter!$C$58)</f>
        <v/>
      </c>
      <c r="W37" s="43">
        <f>T37*(Parameter!$C$10+Parameter!$C$11)+U37*((Parameter!$C$12+Parameter!$C$13)/2+Parameter!$C$15)</f>
        <v/>
      </c>
      <c r="X37" s="43">
        <f>MIN(H37,I37)*Parameter!$C$10+MIN(H37,J37)*(0.96*(Parameter!$C$12+Parameter!$C$13)/2+Parameter!$C$58)</f>
        <v/>
      </c>
      <c r="Y37" s="43">
        <f>MIN(H37-M37,I37)*Parameter!$C$10+MIN(H37-M37,J37)*(0.96*(Parameter!$C$12+Parameter!$C$13)/2+Parameter!$C$58)</f>
        <v/>
      </c>
      <c r="Z37" s="43">
        <f>MAX(0,H37-Parameter!$C$32*F37-Parameter!$C$33-X37)</f>
        <v/>
      </c>
      <c r="AA37" s="43">
        <f>MAX(0,H37-L37-Parameter!$C$32*F37-Parameter!$C$33-Y37)</f>
        <v/>
      </c>
      <c r="AB37" s="43">
        <f>MAX(0,(Z37+IF(Eingaben!$C$14=3,Eingaben!$C$15,0))/Parameter!$C$57/F37)</f>
        <v/>
      </c>
      <c r="AC37" s="43">
        <f>Parameter!$C$57*F37*(IF(AB37&lt;=Parameter!$C$18,0,IF(AB37&lt;=Parameter!$C$19,(Parameter!$C$22*(AB37-Parameter!$C$18)/10000+Parameter!$C$23)*(AB37-Parameter!$C$18)/10000,IF(AB37&lt;=Parameter!$C$20,(Parameter!$C$24*(AB37-Parameter!$C$19)/10000+Parameter!$C$25)*(AB37-Parameter!$C$19)/10000+Parameter!$C$26,IF(AB37&lt;=Parameter!$C$21,0.42*AB37-Parameter!$C$27,0.45*AB37-Parameter!$C$28)))))</f>
        <v/>
      </c>
      <c r="AD37" s="43">
        <f>AC37+IF(AC37&lt;=(Parameter!$C$30*Parameter!$C$57*F37),0,MIN(Parameter!$C$29*AC37,Parameter!$C$31*(AC37-(Parameter!$C$30*Parameter!$C$57*F37))))+Eingaben!$C$16*AC37</f>
        <v/>
      </c>
      <c r="AE37" s="43">
        <f>MAX(0,(AA37+IF(Eingaben!$C$14=3,Eingaben!$C$15,0))/Parameter!$C$57/F37)</f>
        <v/>
      </c>
      <c r="AF37" s="43">
        <f>Parameter!$C$57*F37*(IF(AE37&lt;=Parameter!$C$18,0,IF(AE37&lt;=Parameter!$C$19,(Parameter!$C$22*(AE37-Parameter!$C$18)/10000+Parameter!$C$23)*(AE37-Parameter!$C$18)/10000,IF(AE37&lt;=Parameter!$C$20,(Parameter!$C$24*(AE37-Parameter!$C$19)/10000+Parameter!$C$25)*(AE37-Parameter!$C$19)/10000+Parameter!$C$26,IF(AE37&lt;=Parameter!$C$21,0.42*AE37-Parameter!$C$27,0.45*AE37-Parameter!$C$28)))))</f>
        <v/>
      </c>
      <c r="AG37" s="43">
        <f>AF37+IF(AF37&lt;=(Parameter!$C$30*Parameter!$C$57*F37),0,MIN(Parameter!$C$29*AF37,Parameter!$C$31*(AF37-(Parameter!$C$30*Parameter!$C$57*F37))))+Eingaben!$C$16*AF37</f>
        <v/>
      </c>
      <c r="AH37" s="43">
        <f>AD37-AG37</f>
        <v/>
      </c>
      <c r="AI37" s="43">
        <f>MAX(0,K37-V37-AH37)</f>
        <v/>
      </c>
      <c r="AJ37" s="43">
        <f>MIN(AI37,Parameter!$C$49)</f>
        <v/>
      </c>
      <c r="AK37" s="43">
        <f>Parameter!$C$44*MIN(AJ37,Parameter!$C$45)+Parameter!$C$46*MAX(0,MIN(AJ37,Parameter!$C$47)-Parameter!$C$45)</f>
        <v/>
      </c>
      <c r="AL37" s="43">
        <f>MIN(AJ37,Parameter!$C$48)*Eingaben!$C$18*IF(29&lt;Eingaben!$C$19,1,0)</f>
        <v/>
      </c>
      <c r="AM37" s="43">
        <f>MIN(AK37+AL37,MAX(0,Parameter!$C$49-AJ37))</f>
        <v/>
      </c>
      <c r="AN37" s="43">
        <f>MIN(MIN(AJ37,Parameter!$C$47)+AM37,Parameter!$C$50)</f>
        <v/>
      </c>
      <c r="AO37" s="43">
        <f>MAX(0,Z37-AN37)</f>
        <v/>
      </c>
      <c r="AP37" s="43">
        <f>MAX(0,(AO37+IF(Eingaben!$C$14=3,Eingaben!$C$15,0))/Parameter!$C$57/F37)</f>
        <v/>
      </c>
      <c r="AQ37" s="43">
        <f>Parameter!$C$57*F37*(IF(AP37&lt;=Parameter!$C$18,0,IF(AP37&lt;=Parameter!$C$19,(Parameter!$C$22*(AP37-Parameter!$C$18)/10000+Parameter!$C$23)*(AP37-Parameter!$C$18)/10000,IF(AP37&lt;=Parameter!$C$20,(Parameter!$C$24*(AP37-Parameter!$C$19)/10000+Parameter!$C$25)*(AP37-Parameter!$C$19)/10000+Parameter!$C$26,IF(AP37&lt;=Parameter!$C$21,0.42*AP37-Parameter!$C$27,0.45*AP37-Parameter!$C$28)))))</f>
        <v/>
      </c>
      <c r="AR37" s="43">
        <f>AQ37+IF(AQ37&lt;=(Parameter!$C$30*Parameter!$C$57*F37),0,MIN(Parameter!$C$29*AQ37,Parameter!$C$31*(AQ37-(Parameter!$C$30*Parameter!$C$57*F37))))+Eingaben!$C$16*AQ37</f>
        <v/>
      </c>
      <c r="AS37" s="43">
        <f>AD37-AR37</f>
        <v/>
      </c>
      <c r="AT37" s="43">
        <f>MAX(0,AS37-AM37)</f>
        <v/>
      </c>
      <c r="AU37" s="43">
        <f>MIN(AJ37,Parameter!$C$47)+AM37</f>
        <v/>
      </c>
      <c r="AV37" s="43">
        <f>MAX(0,AJ37-Parameter!$C$47)+AT36</f>
        <v/>
      </c>
      <c r="AW37" s="43">
        <f>MAX(0,AI37-Parameter!$C$49)</f>
        <v/>
      </c>
      <c r="AX37" s="43">
        <f>AI37</f>
        <v/>
      </c>
      <c r="AY37" s="43">
        <f>IF(D37=0,AY36,AY36*(1+Parameter!$C$60)+R37*(1+Parameter!$C$60)^0.5)</f>
        <v/>
      </c>
      <c r="AZ37" s="43">
        <f>IF(D37=0,AZ36,AZ36*(1+Parameter!$C$60)+S37*(1+Parameter!$C$60)^0.5)</f>
        <v/>
      </c>
      <c r="BA37" s="43">
        <f>IF(D37=0,BA36,BA36*(1+Parameter!$C$61)+AU37*(1+Parameter!$C$61)^0.5)</f>
        <v/>
      </c>
      <c r="BB37" s="43">
        <f>IF(D37=0,BB36,BB36*(1+Parameter!$C$61)+AV37*(1+Parameter!$C$61)^0.5)</f>
        <v/>
      </c>
      <c r="BC37" s="43">
        <f>IF(D37=0,BC36,BC36*(1+Parameter!$C$62)+AW37*(1+Parameter!$C$62)^0.5-BF37)</f>
        <v/>
      </c>
      <c r="BD37" s="43">
        <f>IF(D37=0,BD36,BD36+AW37+BE37)</f>
        <v/>
      </c>
      <c r="BE37" s="43">
        <f>MAX(0,MIN(BC36*(1+Parameter!$C$62)+AW37*(1+Parameter!$C$62)^0.5-BC36-AW37,BC36*Parameter!$C$39*Parameter!$C$40))</f>
        <v/>
      </c>
      <c r="BF37" s="43">
        <f>MAX(0,BE37*(1-Parameter!$C$37)-Parameter!$C$67)*Parameter!$C$36</f>
        <v/>
      </c>
      <c r="BG37" s="43">
        <f>IF(D37=0,BG36,BG36*(1+Parameter!$C$62)+AX37*(1+Parameter!$C$62)^0.5-BJ37)</f>
        <v/>
      </c>
      <c r="BH37" s="43">
        <f>IF(D37=0,BH36,BH36+AX37+BI37)</f>
        <v/>
      </c>
      <c r="BI37" s="43">
        <f>MAX(0,MIN(BG36*(1+Parameter!$C$62)+AX37*(1+Parameter!$C$62)^0.5-BG36-AX37,BG36*Parameter!$C$39*Parameter!$C$40))</f>
        <v/>
      </c>
      <c r="BJ37" s="43">
        <f>MAX(0,BI37*(1-Parameter!$C$37)-Parameter!$C$67)*Parameter!$C$36</f>
        <v/>
      </c>
      <c r="BK37" s="41">
        <f>T37/(Parameter!$C$8*E37)</f>
        <v/>
      </c>
      <c r="BL37" s="41">
        <f>BL36+BK37</f>
        <v/>
      </c>
    </row>
    <row r="38">
      <c r="A38" s="30">
        <f>2026+30</f>
        <v/>
      </c>
      <c r="B38" s="30">
        <f>Eingaben!$C$5+30</f>
        <v/>
      </c>
      <c r="C38" s="30">
        <f>IF(AND(B38&lt;Eingaben!$C$8,B38&lt;Eingaben!$C$6),1,0)</f>
        <v/>
      </c>
      <c r="D38" s="30">
        <f>IF(B38&lt;Eingaben!$C$6,1,0)</f>
        <v/>
      </c>
      <c r="E38" s="38">
        <f>(1+Eingaben!$C$13)^30</f>
        <v/>
      </c>
      <c r="F38" s="38">
        <f>(1+Eingaben!$C$17)^30</f>
        <v/>
      </c>
      <c r="G38" s="39">
        <f>IF(B38&gt;=Eingaben!$C$9,Eingaben!$C$10,1)</f>
        <v/>
      </c>
      <c r="H38" s="40">
        <f>Eingaben!$C$12*E38*G38*C38</f>
        <v/>
      </c>
      <c r="I38" s="40">
        <f>Parameter!$C$4*E38</f>
        <v/>
      </c>
      <c r="J38" s="40">
        <f>Parameter!$C$5*E38</f>
        <v/>
      </c>
      <c r="K38" s="40">
        <f>MIN(H38,12*(IF(Eingaben!$C$22=2,Umrechnung!$C$54,Eingaben!$C$23))*IF(Eingaben!$C$25=1,E38,1))*C38</f>
        <v/>
      </c>
      <c r="L38" s="40">
        <f>MIN(K38,MAX(0,Parameter!$C$42*I38-P38))</f>
        <v/>
      </c>
      <c r="M38" s="40">
        <f>MIN(K38,MAX(0,Parameter!$C$43*I38-N38))</f>
        <v/>
      </c>
      <c r="N38" s="40">
        <f>C38*IF(K38/12+0.000000001&lt;Eingaben!$C$29,0,12*Eingaben!$C$27*IF(Eingaben!$C$28=1,E38,1))</f>
        <v/>
      </c>
      <c r="O38" s="40">
        <f>IF(Eingaben!$C$30=2,MIN(Eingaben!$C$26*K38,W38),Eingaben!$C$26*IF(Eingaben!$C$30=1,M38,K38))</f>
        <v/>
      </c>
      <c r="P38" s="40">
        <f>O38+N38</f>
        <v/>
      </c>
      <c r="Q38" s="40">
        <f>K38+P38</f>
        <v/>
      </c>
      <c r="R38" s="40">
        <f>MIN(Q38,Parameter!$C$42*I38)</f>
        <v/>
      </c>
      <c r="S38" s="40">
        <f>Q38-R38</f>
        <v/>
      </c>
      <c r="T38" s="40">
        <f>MIN(H38,I38)-MIN(H38-M38,I38)</f>
        <v/>
      </c>
      <c r="U38" s="40">
        <f>MIN(H38,J38)-MIN(H38-M38,J38)</f>
        <v/>
      </c>
      <c r="V38" s="40">
        <f>T38*(Parameter!$C$10+Parameter!$C$11)+U38*((Parameter!$C$12+Parameter!$C$13)/2+Parameter!$C$58)</f>
        <v/>
      </c>
      <c r="W38" s="40">
        <f>T38*(Parameter!$C$10+Parameter!$C$11)+U38*((Parameter!$C$12+Parameter!$C$13)/2+Parameter!$C$15)</f>
        <v/>
      </c>
      <c r="X38" s="40">
        <f>MIN(H38,I38)*Parameter!$C$10+MIN(H38,J38)*(0.96*(Parameter!$C$12+Parameter!$C$13)/2+Parameter!$C$58)</f>
        <v/>
      </c>
      <c r="Y38" s="40">
        <f>MIN(H38-M38,I38)*Parameter!$C$10+MIN(H38-M38,J38)*(0.96*(Parameter!$C$12+Parameter!$C$13)/2+Parameter!$C$58)</f>
        <v/>
      </c>
      <c r="Z38" s="40">
        <f>MAX(0,H38-Parameter!$C$32*F38-Parameter!$C$33-X38)</f>
        <v/>
      </c>
      <c r="AA38" s="40">
        <f>MAX(0,H38-L38-Parameter!$C$32*F38-Parameter!$C$33-Y38)</f>
        <v/>
      </c>
      <c r="AB38" s="40">
        <f>MAX(0,(Z38+IF(Eingaben!$C$14=3,Eingaben!$C$15,0))/Parameter!$C$57/F38)</f>
        <v/>
      </c>
      <c r="AC38" s="40">
        <f>Parameter!$C$57*F38*(IF(AB38&lt;=Parameter!$C$18,0,IF(AB38&lt;=Parameter!$C$19,(Parameter!$C$22*(AB38-Parameter!$C$18)/10000+Parameter!$C$23)*(AB38-Parameter!$C$18)/10000,IF(AB38&lt;=Parameter!$C$20,(Parameter!$C$24*(AB38-Parameter!$C$19)/10000+Parameter!$C$25)*(AB38-Parameter!$C$19)/10000+Parameter!$C$26,IF(AB38&lt;=Parameter!$C$21,0.42*AB38-Parameter!$C$27,0.45*AB38-Parameter!$C$28)))))</f>
        <v/>
      </c>
      <c r="AD38" s="40">
        <f>AC38+IF(AC38&lt;=(Parameter!$C$30*Parameter!$C$57*F38),0,MIN(Parameter!$C$29*AC38,Parameter!$C$31*(AC38-(Parameter!$C$30*Parameter!$C$57*F38))))+Eingaben!$C$16*AC38</f>
        <v/>
      </c>
      <c r="AE38" s="40">
        <f>MAX(0,(AA38+IF(Eingaben!$C$14=3,Eingaben!$C$15,0))/Parameter!$C$57/F38)</f>
        <v/>
      </c>
      <c r="AF38" s="40">
        <f>Parameter!$C$57*F38*(IF(AE38&lt;=Parameter!$C$18,0,IF(AE38&lt;=Parameter!$C$19,(Parameter!$C$22*(AE38-Parameter!$C$18)/10000+Parameter!$C$23)*(AE38-Parameter!$C$18)/10000,IF(AE38&lt;=Parameter!$C$20,(Parameter!$C$24*(AE38-Parameter!$C$19)/10000+Parameter!$C$25)*(AE38-Parameter!$C$19)/10000+Parameter!$C$26,IF(AE38&lt;=Parameter!$C$21,0.42*AE38-Parameter!$C$27,0.45*AE38-Parameter!$C$28)))))</f>
        <v/>
      </c>
      <c r="AG38" s="40">
        <f>AF38+IF(AF38&lt;=(Parameter!$C$30*Parameter!$C$57*F38),0,MIN(Parameter!$C$29*AF38,Parameter!$C$31*(AF38-(Parameter!$C$30*Parameter!$C$57*F38))))+Eingaben!$C$16*AF38</f>
        <v/>
      </c>
      <c r="AH38" s="40">
        <f>AD38-AG38</f>
        <v/>
      </c>
      <c r="AI38" s="40">
        <f>MAX(0,K38-V38-AH38)</f>
        <v/>
      </c>
      <c r="AJ38" s="40">
        <f>MIN(AI38,Parameter!$C$49)</f>
        <v/>
      </c>
      <c r="AK38" s="40">
        <f>Parameter!$C$44*MIN(AJ38,Parameter!$C$45)+Parameter!$C$46*MAX(0,MIN(AJ38,Parameter!$C$47)-Parameter!$C$45)</f>
        <v/>
      </c>
      <c r="AL38" s="40">
        <f>MIN(AJ38,Parameter!$C$48)*Eingaben!$C$18*IF(30&lt;Eingaben!$C$19,1,0)</f>
        <v/>
      </c>
      <c r="AM38" s="40">
        <f>MIN(AK38+AL38,MAX(0,Parameter!$C$49-AJ38))</f>
        <v/>
      </c>
      <c r="AN38" s="40">
        <f>MIN(MIN(AJ38,Parameter!$C$47)+AM38,Parameter!$C$50)</f>
        <v/>
      </c>
      <c r="AO38" s="40">
        <f>MAX(0,Z38-AN38)</f>
        <v/>
      </c>
      <c r="AP38" s="40">
        <f>MAX(0,(AO38+IF(Eingaben!$C$14=3,Eingaben!$C$15,0))/Parameter!$C$57/F38)</f>
        <v/>
      </c>
      <c r="AQ38" s="40">
        <f>Parameter!$C$57*F38*(IF(AP38&lt;=Parameter!$C$18,0,IF(AP38&lt;=Parameter!$C$19,(Parameter!$C$22*(AP38-Parameter!$C$18)/10000+Parameter!$C$23)*(AP38-Parameter!$C$18)/10000,IF(AP38&lt;=Parameter!$C$20,(Parameter!$C$24*(AP38-Parameter!$C$19)/10000+Parameter!$C$25)*(AP38-Parameter!$C$19)/10000+Parameter!$C$26,IF(AP38&lt;=Parameter!$C$21,0.42*AP38-Parameter!$C$27,0.45*AP38-Parameter!$C$28)))))</f>
        <v/>
      </c>
      <c r="AR38" s="40">
        <f>AQ38+IF(AQ38&lt;=(Parameter!$C$30*Parameter!$C$57*F38),0,MIN(Parameter!$C$29*AQ38,Parameter!$C$31*(AQ38-(Parameter!$C$30*Parameter!$C$57*F38))))+Eingaben!$C$16*AQ38</f>
        <v/>
      </c>
      <c r="AS38" s="40">
        <f>AD38-AR38</f>
        <v/>
      </c>
      <c r="AT38" s="40">
        <f>MAX(0,AS38-AM38)</f>
        <v/>
      </c>
      <c r="AU38" s="40">
        <f>MIN(AJ38,Parameter!$C$47)+AM38</f>
        <v/>
      </c>
      <c r="AV38" s="40">
        <f>MAX(0,AJ38-Parameter!$C$47)+AT37</f>
        <v/>
      </c>
      <c r="AW38" s="40">
        <f>MAX(0,AI38-Parameter!$C$49)</f>
        <v/>
      </c>
      <c r="AX38" s="40">
        <f>AI38</f>
        <v/>
      </c>
      <c r="AY38" s="40">
        <f>IF(D38=0,AY37,AY37*(1+Parameter!$C$60)+R38*(1+Parameter!$C$60)^0.5)</f>
        <v/>
      </c>
      <c r="AZ38" s="40">
        <f>IF(D38=0,AZ37,AZ37*(1+Parameter!$C$60)+S38*(1+Parameter!$C$60)^0.5)</f>
        <v/>
      </c>
      <c r="BA38" s="40">
        <f>IF(D38=0,BA37,BA37*(1+Parameter!$C$61)+AU38*(1+Parameter!$C$61)^0.5)</f>
        <v/>
      </c>
      <c r="BB38" s="40">
        <f>IF(D38=0,BB37,BB37*(1+Parameter!$C$61)+AV38*(1+Parameter!$C$61)^0.5)</f>
        <v/>
      </c>
      <c r="BC38" s="40">
        <f>IF(D38=0,BC37,BC37*(1+Parameter!$C$62)+AW38*(1+Parameter!$C$62)^0.5-BF38)</f>
        <v/>
      </c>
      <c r="BD38" s="40">
        <f>IF(D38=0,BD37,BD37+AW38+BE38)</f>
        <v/>
      </c>
      <c r="BE38" s="40">
        <f>MAX(0,MIN(BC37*(1+Parameter!$C$62)+AW38*(1+Parameter!$C$62)^0.5-BC37-AW38,BC37*Parameter!$C$39*Parameter!$C$40))</f>
        <v/>
      </c>
      <c r="BF38" s="40">
        <f>MAX(0,BE38*(1-Parameter!$C$37)-Parameter!$C$67)*Parameter!$C$36</f>
        <v/>
      </c>
      <c r="BG38" s="40">
        <f>IF(D38=0,BG37,BG37*(1+Parameter!$C$62)+AX38*(1+Parameter!$C$62)^0.5-BJ38)</f>
        <v/>
      </c>
      <c r="BH38" s="40">
        <f>IF(D38=0,BH37,BH37+AX38+BI38)</f>
        <v/>
      </c>
      <c r="BI38" s="40">
        <f>MAX(0,MIN(BG37*(1+Parameter!$C$62)+AX38*(1+Parameter!$C$62)^0.5-BG37-AX38,BG37*Parameter!$C$39*Parameter!$C$40))</f>
        <v/>
      </c>
      <c r="BJ38" s="40">
        <f>MAX(0,BI38*(1-Parameter!$C$37)-Parameter!$C$67)*Parameter!$C$36</f>
        <v/>
      </c>
      <c r="BK38" s="38">
        <f>T38/(Parameter!$C$8*E38)</f>
        <v/>
      </c>
      <c r="BL38" s="38">
        <f>BL37+BK38</f>
        <v/>
      </c>
    </row>
    <row r="39">
      <c r="A39" s="32">
        <f>2026+31</f>
        <v/>
      </c>
      <c r="B39" s="32">
        <f>Eingaben!$C$5+31</f>
        <v/>
      </c>
      <c r="C39" s="32">
        <f>IF(AND(B39&lt;Eingaben!$C$8,B39&lt;Eingaben!$C$6),1,0)</f>
        <v/>
      </c>
      <c r="D39" s="32">
        <f>IF(B39&lt;Eingaben!$C$6,1,0)</f>
        <v/>
      </c>
      <c r="E39" s="41">
        <f>(1+Eingaben!$C$13)^31</f>
        <v/>
      </c>
      <c r="F39" s="41">
        <f>(1+Eingaben!$C$17)^31</f>
        <v/>
      </c>
      <c r="G39" s="42">
        <f>IF(B39&gt;=Eingaben!$C$9,Eingaben!$C$10,1)</f>
        <v/>
      </c>
      <c r="H39" s="43">
        <f>Eingaben!$C$12*E39*G39*C39</f>
        <v/>
      </c>
      <c r="I39" s="43">
        <f>Parameter!$C$4*E39</f>
        <v/>
      </c>
      <c r="J39" s="43">
        <f>Parameter!$C$5*E39</f>
        <v/>
      </c>
      <c r="K39" s="43">
        <f>MIN(H39,12*(IF(Eingaben!$C$22=2,Umrechnung!$C$54,Eingaben!$C$23))*IF(Eingaben!$C$25=1,E39,1))*C39</f>
        <v/>
      </c>
      <c r="L39" s="43">
        <f>MIN(K39,MAX(0,Parameter!$C$42*I39-P39))</f>
        <v/>
      </c>
      <c r="M39" s="43">
        <f>MIN(K39,MAX(0,Parameter!$C$43*I39-N39))</f>
        <v/>
      </c>
      <c r="N39" s="43">
        <f>C39*IF(K39/12+0.000000001&lt;Eingaben!$C$29,0,12*Eingaben!$C$27*IF(Eingaben!$C$28=1,E39,1))</f>
        <v/>
      </c>
      <c r="O39" s="43">
        <f>IF(Eingaben!$C$30=2,MIN(Eingaben!$C$26*K39,W39),Eingaben!$C$26*IF(Eingaben!$C$30=1,M39,K39))</f>
        <v/>
      </c>
      <c r="P39" s="43">
        <f>O39+N39</f>
        <v/>
      </c>
      <c r="Q39" s="43">
        <f>K39+P39</f>
        <v/>
      </c>
      <c r="R39" s="43">
        <f>MIN(Q39,Parameter!$C$42*I39)</f>
        <v/>
      </c>
      <c r="S39" s="43">
        <f>Q39-R39</f>
        <v/>
      </c>
      <c r="T39" s="43">
        <f>MIN(H39,I39)-MIN(H39-M39,I39)</f>
        <v/>
      </c>
      <c r="U39" s="43">
        <f>MIN(H39,J39)-MIN(H39-M39,J39)</f>
        <v/>
      </c>
      <c r="V39" s="43">
        <f>T39*(Parameter!$C$10+Parameter!$C$11)+U39*((Parameter!$C$12+Parameter!$C$13)/2+Parameter!$C$58)</f>
        <v/>
      </c>
      <c r="W39" s="43">
        <f>T39*(Parameter!$C$10+Parameter!$C$11)+U39*((Parameter!$C$12+Parameter!$C$13)/2+Parameter!$C$15)</f>
        <v/>
      </c>
      <c r="X39" s="43">
        <f>MIN(H39,I39)*Parameter!$C$10+MIN(H39,J39)*(0.96*(Parameter!$C$12+Parameter!$C$13)/2+Parameter!$C$58)</f>
        <v/>
      </c>
      <c r="Y39" s="43">
        <f>MIN(H39-M39,I39)*Parameter!$C$10+MIN(H39-M39,J39)*(0.96*(Parameter!$C$12+Parameter!$C$13)/2+Parameter!$C$58)</f>
        <v/>
      </c>
      <c r="Z39" s="43">
        <f>MAX(0,H39-Parameter!$C$32*F39-Parameter!$C$33-X39)</f>
        <v/>
      </c>
      <c r="AA39" s="43">
        <f>MAX(0,H39-L39-Parameter!$C$32*F39-Parameter!$C$33-Y39)</f>
        <v/>
      </c>
      <c r="AB39" s="43">
        <f>MAX(0,(Z39+IF(Eingaben!$C$14=3,Eingaben!$C$15,0))/Parameter!$C$57/F39)</f>
        <v/>
      </c>
      <c r="AC39" s="43">
        <f>Parameter!$C$57*F39*(IF(AB39&lt;=Parameter!$C$18,0,IF(AB39&lt;=Parameter!$C$19,(Parameter!$C$22*(AB39-Parameter!$C$18)/10000+Parameter!$C$23)*(AB39-Parameter!$C$18)/10000,IF(AB39&lt;=Parameter!$C$20,(Parameter!$C$24*(AB39-Parameter!$C$19)/10000+Parameter!$C$25)*(AB39-Parameter!$C$19)/10000+Parameter!$C$26,IF(AB39&lt;=Parameter!$C$21,0.42*AB39-Parameter!$C$27,0.45*AB39-Parameter!$C$28)))))</f>
        <v/>
      </c>
      <c r="AD39" s="43">
        <f>AC39+IF(AC39&lt;=(Parameter!$C$30*Parameter!$C$57*F39),0,MIN(Parameter!$C$29*AC39,Parameter!$C$31*(AC39-(Parameter!$C$30*Parameter!$C$57*F39))))+Eingaben!$C$16*AC39</f>
        <v/>
      </c>
      <c r="AE39" s="43">
        <f>MAX(0,(AA39+IF(Eingaben!$C$14=3,Eingaben!$C$15,0))/Parameter!$C$57/F39)</f>
        <v/>
      </c>
      <c r="AF39" s="43">
        <f>Parameter!$C$57*F39*(IF(AE39&lt;=Parameter!$C$18,0,IF(AE39&lt;=Parameter!$C$19,(Parameter!$C$22*(AE39-Parameter!$C$18)/10000+Parameter!$C$23)*(AE39-Parameter!$C$18)/10000,IF(AE39&lt;=Parameter!$C$20,(Parameter!$C$24*(AE39-Parameter!$C$19)/10000+Parameter!$C$25)*(AE39-Parameter!$C$19)/10000+Parameter!$C$26,IF(AE39&lt;=Parameter!$C$21,0.42*AE39-Parameter!$C$27,0.45*AE39-Parameter!$C$28)))))</f>
        <v/>
      </c>
      <c r="AG39" s="43">
        <f>AF39+IF(AF39&lt;=(Parameter!$C$30*Parameter!$C$57*F39),0,MIN(Parameter!$C$29*AF39,Parameter!$C$31*(AF39-(Parameter!$C$30*Parameter!$C$57*F39))))+Eingaben!$C$16*AF39</f>
        <v/>
      </c>
      <c r="AH39" s="43">
        <f>AD39-AG39</f>
        <v/>
      </c>
      <c r="AI39" s="43">
        <f>MAX(0,K39-V39-AH39)</f>
        <v/>
      </c>
      <c r="AJ39" s="43">
        <f>MIN(AI39,Parameter!$C$49)</f>
        <v/>
      </c>
      <c r="AK39" s="43">
        <f>Parameter!$C$44*MIN(AJ39,Parameter!$C$45)+Parameter!$C$46*MAX(0,MIN(AJ39,Parameter!$C$47)-Parameter!$C$45)</f>
        <v/>
      </c>
      <c r="AL39" s="43">
        <f>MIN(AJ39,Parameter!$C$48)*Eingaben!$C$18*IF(31&lt;Eingaben!$C$19,1,0)</f>
        <v/>
      </c>
      <c r="AM39" s="43">
        <f>MIN(AK39+AL39,MAX(0,Parameter!$C$49-AJ39))</f>
        <v/>
      </c>
      <c r="AN39" s="43">
        <f>MIN(MIN(AJ39,Parameter!$C$47)+AM39,Parameter!$C$50)</f>
        <v/>
      </c>
      <c r="AO39" s="43">
        <f>MAX(0,Z39-AN39)</f>
        <v/>
      </c>
      <c r="AP39" s="43">
        <f>MAX(0,(AO39+IF(Eingaben!$C$14=3,Eingaben!$C$15,0))/Parameter!$C$57/F39)</f>
        <v/>
      </c>
      <c r="AQ39" s="43">
        <f>Parameter!$C$57*F39*(IF(AP39&lt;=Parameter!$C$18,0,IF(AP39&lt;=Parameter!$C$19,(Parameter!$C$22*(AP39-Parameter!$C$18)/10000+Parameter!$C$23)*(AP39-Parameter!$C$18)/10000,IF(AP39&lt;=Parameter!$C$20,(Parameter!$C$24*(AP39-Parameter!$C$19)/10000+Parameter!$C$25)*(AP39-Parameter!$C$19)/10000+Parameter!$C$26,IF(AP39&lt;=Parameter!$C$21,0.42*AP39-Parameter!$C$27,0.45*AP39-Parameter!$C$28)))))</f>
        <v/>
      </c>
      <c r="AR39" s="43">
        <f>AQ39+IF(AQ39&lt;=(Parameter!$C$30*Parameter!$C$57*F39),0,MIN(Parameter!$C$29*AQ39,Parameter!$C$31*(AQ39-(Parameter!$C$30*Parameter!$C$57*F39))))+Eingaben!$C$16*AQ39</f>
        <v/>
      </c>
      <c r="AS39" s="43">
        <f>AD39-AR39</f>
        <v/>
      </c>
      <c r="AT39" s="43">
        <f>MAX(0,AS39-AM39)</f>
        <v/>
      </c>
      <c r="AU39" s="43">
        <f>MIN(AJ39,Parameter!$C$47)+AM39</f>
        <v/>
      </c>
      <c r="AV39" s="43">
        <f>MAX(0,AJ39-Parameter!$C$47)+AT38</f>
        <v/>
      </c>
      <c r="AW39" s="43">
        <f>MAX(0,AI39-Parameter!$C$49)</f>
        <v/>
      </c>
      <c r="AX39" s="43">
        <f>AI39</f>
        <v/>
      </c>
      <c r="AY39" s="43">
        <f>IF(D39=0,AY38,AY38*(1+Parameter!$C$60)+R39*(1+Parameter!$C$60)^0.5)</f>
        <v/>
      </c>
      <c r="AZ39" s="43">
        <f>IF(D39=0,AZ38,AZ38*(1+Parameter!$C$60)+S39*(1+Parameter!$C$60)^0.5)</f>
        <v/>
      </c>
      <c r="BA39" s="43">
        <f>IF(D39=0,BA38,BA38*(1+Parameter!$C$61)+AU39*(1+Parameter!$C$61)^0.5)</f>
        <v/>
      </c>
      <c r="BB39" s="43">
        <f>IF(D39=0,BB38,BB38*(1+Parameter!$C$61)+AV39*(1+Parameter!$C$61)^0.5)</f>
        <v/>
      </c>
      <c r="BC39" s="43">
        <f>IF(D39=0,BC38,BC38*(1+Parameter!$C$62)+AW39*(1+Parameter!$C$62)^0.5-BF39)</f>
        <v/>
      </c>
      <c r="BD39" s="43">
        <f>IF(D39=0,BD38,BD38+AW39+BE39)</f>
        <v/>
      </c>
      <c r="BE39" s="43">
        <f>MAX(0,MIN(BC38*(1+Parameter!$C$62)+AW39*(1+Parameter!$C$62)^0.5-BC38-AW39,BC38*Parameter!$C$39*Parameter!$C$40))</f>
        <v/>
      </c>
      <c r="BF39" s="43">
        <f>MAX(0,BE39*(1-Parameter!$C$37)-Parameter!$C$67)*Parameter!$C$36</f>
        <v/>
      </c>
      <c r="BG39" s="43">
        <f>IF(D39=0,BG38,BG38*(1+Parameter!$C$62)+AX39*(1+Parameter!$C$62)^0.5-BJ39)</f>
        <v/>
      </c>
      <c r="BH39" s="43">
        <f>IF(D39=0,BH38,BH38+AX39+BI39)</f>
        <v/>
      </c>
      <c r="BI39" s="43">
        <f>MAX(0,MIN(BG38*(1+Parameter!$C$62)+AX39*(1+Parameter!$C$62)^0.5-BG38-AX39,BG38*Parameter!$C$39*Parameter!$C$40))</f>
        <v/>
      </c>
      <c r="BJ39" s="43">
        <f>MAX(0,BI39*(1-Parameter!$C$37)-Parameter!$C$67)*Parameter!$C$36</f>
        <v/>
      </c>
      <c r="BK39" s="41">
        <f>T39/(Parameter!$C$8*E39)</f>
        <v/>
      </c>
      <c r="BL39" s="41">
        <f>BL38+BK39</f>
        <v/>
      </c>
    </row>
    <row r="40">
      <c r="A40" s="30">
        <f>2026+32</f>
        <v/>
      </c>
      <c r="B40" s="30">
        <f>Eingaben!$C$5+32</f>
        <v/>
      </c>
      <c r="C40" s="30">
        <f>IF(AND(B40&lt;Eingaben!$C$8,B40&lt;Eingaben!$C$6),1,0)</f>
        <v/>
      </c>
      <c r="D40" s="30">
        <f>IF(B40&lt;Eingaben!$C$6,1,0)</f>
        <v/>
      </c>
      <c r="E40" s="38">
        <f>(1+Eingaben!$C$13)^32</f>
        <v/>
      </c>
      <c r="F40" s="38">
        <f>(1+Eingaben!$C$17)^32</f>
        <v/>
      </c>
      <c r="G40" s="39">
        <f>IF(B40&gt;=Eingaben!$C$9,Eingaben!$C$10,1)</f>
        <v/>
      </c>
      <c r="H40" s="40">
        <f>Eingaben!$C$12*E40*G40*C40</f>
        <v/>
      </c>
      <c r="I40" s="40">
        <f>Parameter!$C$4*E40</f>
        <v/>
      </c>
      <c r="J40" s="40">
        <f>Parameter!$C$5*E40</f>
        <v/>
      </c>
      <c r="K40" s="40">
        <f>MIN(H40,12*(IF(Eingaben!$C$22=2,Umrechnung!$C$54,Eingaben!$C$23))*IF(Eingaben!$C$25=1,E40,1))*C40</f>
        <v/>
      </c>
      <c r="L40" s="40">
        <f>MIN(K40,MAX(0,Parameter!$C$42*I40-P40))</f>
        <v/>
      </c>
      <c r="M40" s="40">
        <f>MIN(K40,MAX(0,Parameter!$C$43*I40-N40))</f>
        <v/>
      </c>
      <c r="N40" s="40">
        <f>C40*IF(K40/12+0.000000001&lt;Eingaben!$C$29,0,12*Eingaben!$C$27*IF(Eingaben!$C$28=1,E40,1))</f>
        <v/>
      </c>
      <c r="O40" s="40">
        <f>IF(Eingaben!$C$30=2,MIN(Eingaben!$C$26*K40,W40),Eingaben!$C$26*IF(Eingaben!$C$30=1,M40,K40))</f>
        <v/>
      </c>
      <c r="P40" s="40">
        <f>O40+N40</f>
        <v/>
      </c>
      <c r="Q40" s="40">
        <f>K40+P40</f>
        <v/>
      </c>
      <c r="R40" s="40">
        <f>MIN(Q40,Parameter!$C$42*I40)</f>
        <v/>
      </c>
      <c r="S40" s="40">
        <f>Q40-R40</f>
        <v/>
      </c>
      <c r="T40" s="40">
        <f>MIN(H40,I40)-MIN(H40-M40,I40)</f>
        <v/>
      </c>
      <c r="U40" s="40">
        <f>MIN(H40,J40)-MIN(H40-M40,J40)</f>
        <v/>
      </c>
      <c r="V40" s="40">
        <f>T40*(Parameter!$C$10+Parameter!$C$11)+U40*((Parameter!$C$12+Parameter!$C$13)/2+Parameter!$C$58)</f>
        <v/>
      </c>
      <c r="W40" s="40">
        <f>T40*(Parameter!$C$10+Parameter!$C$11)+U40*((Parameter!$C$12+Parameter!$C$13)/2+Parameter!$C$15)</f>
        <v/>
      </c>
      <c r="X40" s="40">
        <f>MIN(H40,I40)*Parameter!$C$10+MIN(H40,J40)*(0.96*(Parameter!$C$12+Parameter!$C$13)/2+Parameter!$C$58)</f>
        <v/>
      </c>
      <c r="Y40" s="40">
        <f>MIN(H40-M40,I40)*Parameter!$C$10+MIN(H40-M40,J40)*(0.96*(Parameter!$C$12+Parameter!$C$13)/2+Parameter!$C$58)</f>
        <v/>
      </c>
      <c r="Z40" s="40">
        <f>MAX(0,H40-Parameter!$C$32*F40-Parameter!$C$33-X40)</f>
        <v/>
      </c>
      <c r="AA40" s="40">
        <f>MAX(0,H40-L40-Parameter!$C$32*F40-Parameter!$C$33-Y40)</f>
        <v/>
      </c>
      <c r="AB40" s="40">
        <f>MAX(0,(Z40+IF(Eingaben!$C$14=3,Eingaben!$C$15,0))/Parameter!$C$57/F40)</f>
        <v/>
      </c>
      <c r="AC40" s="40">
        <f>Parameter!$C$57*F40*(IF(AB40&lt;=Parameter!$C$18,0,IF(AB40&lt;=Parameter!$C$19,(Parameter!$C$22*(AB40-Parameter!$C$18)/10000+Parameter!$C$23)*(AB40-Parameter!$C$18)/10000,IF(AB40&lt;=Parameter!$C$20,(Parameter!$C$24*(AB40-Parameter!$C$19)/10000+Parameter!$C$25)*(AB40-Parameter!$C$19)/10000+Parameter!$C$26,IF(AB40&lt;=Parameter!$C$21,0.42*AB40-Parameter!$C$27,0.45*AB40-Parameter!$C$28)))))</f>
        <v/>
      </c>
      <c r="AD40" s="40">
        <f>AC40+IF(AC40&lt;=(Parameter!$C$30*Parameter!$C$57*F40),0,MIN(Parameter!$C$29*AC40,Parameter!$C$31*(AC40-(Parameter!$C$30*Parameter!$C$57*F40))))+Eingaben!$C$16*AC40</f>
        <v/>
      </c>
      <c r="AE40" s="40">
        <f>MAX(0,(AA40+IF(Eingaben!$C$14=3,Eingaben!$C$15,0))/Parameter!$C$57/F40)</f>
        <v/>
      </c>
      <c r="AF40" s="40">
        <f>Parameter!$C$57*F40*(IF(AE40&lt;=Parameter!$C$18,0,IF(AE40&lt;=Parameter!$C$19,(Parameter!$C$22*(AE40-Parameter!$C$18)/10000+Parameter!$C$23)*(AE40-Parameter!$C$18)/10000,IF(AE40&lt;=Parameter!$C$20,(Parameter!$C$24*(AE40-Parameter!$C$19)/10000+Parameter!$C$25)*(AE40-Parameter!$C$19)/10000+Parameter!$C$26,IF(AE40&lt;=Parameter!$C$21,0.42*AE40-Parameter!$C$27,0.45*AE40-Parameter!$C$28)))))</f>
        <v/>
      </c>
      <c r="AG40" s="40">
        <f>AF40+IF(AF40&lt;=(Parameter!$C$30*Parameter!$C$57*F40),0,MIN(Parameter!$C$29*AF40,Parameter!$C$31*(AF40-(Parameter!$C$30*Parameter!$C$57*F40))))+Eingaben!$C$16*AF40</f>
        <v/>
      </c>
      <c r="AH40" s="40">
        <f>AD40-AG40</f>
        <v/>
      </c>
      <c r="AI40" s="40">
        <f>MAX(0,K40-V40-AH40)</f>
        <v/>
      </c>
      <c r="AJ40" s="40">
        <f>MIN(AI40,Parameter!$C$49)</f>
        <v/>
      </c>
      <c r="AK40" s="40">
        <f>Parameter!$C$44*MIN(AJ40,Parameter!$C$45)+Parameter!$C$46*MAX(0,MIN(AJ40,Parameter!$C$47)-Parameter!$C$45)</f>
        <v/>
      </c>
      <c r="AL40" s="40">
        <f>MIN(AJ40,Parameter!$C$48)*Eingaben!$C$18*IF(32&lt;Eingaben!$C$19,1,0)</f>
        <v/>
      </c>
      <c r="AM40" s="40">
        <f>MIN(AK40+AL40,MAX(0,Parameter!$C$49-AJ40))</f>
        <v/>
      </c>
      <c r="AN40" s="40">
        <f>MIN(MIN(AJ40,Parameter!$C$47)+AM40,Parameter!$C$50)</f>
        <v/>
      </c>
      <c r="AO40" s="40">
        <f>MAX(0,Z40-AN40)</f>
        <v/>
      </c>
      <c r="AP40" s="40">
        <f>MAX(0,(AO40+IF(Eingaben!$C$14=3,Eingaben!$C$15,0))/Parameter!$C$57/F40)</f>
        <v/>
      </c>
      <c r="AQ40" s="40">
        <f>Parameter!$C$57*F40*(IF(AP40&lt;=Parameter!$C$18,0,IF(AP40&lt;=Parameter!$C$19,(Parameter!$C$22*(AP40-Parameter!$C$18)/10000+Parameter!$C$23)*(AP40-Parameter!$C$18)/10000,IF(AP40&lt;=Parameter!$C$20,(Parameter!$C$24*(AP40-Parameter!$C$19)/10000+Parameter!$C$25)*(AP40-Parameter!$C$19)/10000+Parameter!$C$26,IF(AP40&lt;=Parameter!$C$21,0.42*AP40-Parameter!$C$27,0.45*AP40-Parameter!$C$28)))))</f>
        <v/>
      </c>
      <c r="AR40" s="40">
        <f>AQ40+IF(AQ40&lt;=(Parameter!$C$30*Parameter!$C$57*F40),0,MIN(Parameter!$C$29*AQ40,Parameter!$C$31*(AQ40-(Parameter!$C$30*Parameter!$C$57*F40))))+Eingaben!$C$16*AQ40</f>
        <v/>
      </c>
      <c r="AS40" s="40">
        <f>AD40-AR40</f>
        <v/>
      </c>
      <c r="AT40" s="40">
        <f>MAX(0,AS40-AM40)</f>
        <v/>
      </c>
      <c r="AU40" s="40">
        <f>MIN(AJ40,Parameter!$C$47)+AM40</f>
        <v/>
      </c>
      <c r="AV40" s="40">
        <f>MAX(0,AJ40-Parameter!$C$47)+AT39</f>
        <v/>
      </c>
      <c r="AW40" s="40">
        <f>MAX(0,AI40-Parameter!$C$49)</f>
        <v/>
      </c>
      <c r="AX40" s="40">
        <f>AI40</f>
        <v/>
      </c>
      <c r="AY40" s="40">
        <f>IF(D40=0,AY39,AY39*(1+Parameter!$C$60)+R40*(1+Parameter!$C$60)^0.5)</f>
        <v/>
      </c>
      <c r="AZ40" s="40">
        <f>IF(D40=0,AZ39,AZ39*(1+Parameter!$C$60)+S40*(1+Parameter!$C$60)^0.5)</f>
        <v/>
      </c>
      <c r="BA40" s="40">
        <f>IF(D40=0,BA39,BA39*(1+Parameter!$C$61)+AU40*(1+Parameter!$C$61)^0.5)</f>
        <v/>
      </c>
      <c r="BB40" s="40">
        <f>IF(D40=0,BB39,BB39*(1+Parameter!$C$61)+AV40*(1+Parameter!$C$61)^0.5)</f>
        <v/>
      </c>
      <c r="BC40" s="40">
        <f>IF(D40=0,BC39,BC39*(1+Parameter!$C$62)+AW40*(1+Parameter!$C$62)^0.5-BF40)</f>
        <v/>
      </c>
      <c r="BD40" s="40">
        <f>IF(D40=0,BD39,BD39+AW40+BE40)</f>
        <v/>
      </c>
      <c r="BE40" s="40">
        <f>MAX(0,MIN(BC39*(1+Parameter!$C$62)+AW40*(1+Parameter!$C$62)^0.5-BC39-AW40,BC39*Parameter!$C$39*Parameter!$C$40))</f>
        <v/>
      </c>
      <c r="BF40" s="40">
        <f>MAX(0,BE40*(1-Parameter!$C$37)-Parameter!$C$67)*Parameter!$C$36</f>
        <v/>
      </c>
      <c r="BG40" s="40">
        <f>IF(D40=0,BG39,BG39*(1+Parameter!$C$62)+AX40*(1+Parameter!$C$62)^0.5-BJ40)</f>
        <v/>
      </c>
      <c r="BH40" s="40">
        <f>IF(D40=0,BH39,BH39+AX40+BI40)</f>
        <v/>
      </c>
      <c r="BI40" s="40">
        <f>MAX(0,MIN(BG39*(1+Parameter!$C$62)+AX40*(1+Parameter!$C$62)^0.5-BG39-AX40,BG39*Parameter!$C$39*Parameter!$C$40))</f>
        <v/>
      </c>
      <c r="BJ40" s="40">
        <f>MAX(0,BI40*(1-Parameter!$C$37)-Parameter!$C$67)*Parameter!$C$36</f>
        <v/>
      </c>
      <c r="BK40" s="38">
        <f>T40/(Parameter!$C$8*E40)</f>
        <v/>
      </c>
      <c r="BL40" s="38">
        <f>BL39+BK40</f>
        <v/>
      </c>
    </row>
    <row r="41">
      <c r="A41" s="32">
        <f>2026+33</f>
        <v/>
      </c>
      <c r="B41" s="32">
        <f>Eingaben!$C$5+33</f>
        <v/>
      </c>
      <c r="C41" s="32">
        <f>IF(AND(B41&lt;Eingaben!$C$8,B41&lt;Eingaben!$C$6),1,0)</f>
        <v/>
      </c>
      <c r="D41" s="32">
        <f>IF(B41&lt;Eingaben!$C$6,1,0)</f>
        <v/>
      </c>
      <c r="E41" s="41">
        <f>(1+Eingaben!$C$13)^33</f>
        <v/>
      </c>
      <c r="F41" s="41">
        <f>(1+Eingaben!$C$17)^33</f>
        <v/>
      </c>
      <c r="G41" s="42">
        <f>IF(B41&gt;=Eingaben!$C$9,Eingaben!$C$10,1)</f>
        <v/>
      </c>
      <c r="H41" s="43">
        <f>Eingaben!$C$12*E41*G41*C41</f>
        <v/>
      </c>
      <c r="I41" s="43">
        <f>Parameter!$C$4*E41</f>
        <v/>
      </c>
      <c r="J41" s="43">
        <f>Parameter!$C$5*E41</f>
        <v/>
      </c>
      <c r="K41" s="43">
        <f>MIN(H41,12*(IF(Eingaben!$C$22=2,Umrechnung!$C$54,Eingaben!$C$23))*IF(Eingaben!$C$25=1,E41,1))*C41</f>
        <v/>
      </c>
      <c r="L41" s="43">
        <f>MIN(K41,MAX(0,Parameter!$C$42*I41-P41))</f>
        <v/>
      </c>
      <c r="M41" s="43">
        <f>MIN(K41,MAX(0,Parameter!$C$43*I41-N41))</f>
        <v/>
      </c>
      <c r="N41" s="43">
        <f>C41*IF(K41/12+0.000000001&lt;Eingaben!$C$29,0,12*Eingaben!$C$27*IF(Eingaben!$C$28=1,E41,1))</f>
        <v/>
      </c>
      <c r="O41" s="43">
        <f>IF(Eingaben!$C$30=2,MIN(Eingaben!$C$26*K41,W41),Eingaben!$C$26*IF(Eingaben!$C$30=1,M41,K41))</f>
        <v/>
      </c>
      <c r="P41" s="43">
        <f>O41+N41</f>
        <v/>
      </c>
      <c r="Q41" s="43">
        <f>K41+P41</f>
        <v/>
      </c>
      <c r="R41" s="43">
        <f>MIN(Q41,Parameter!$C$42*I41)</f>
        <v/>
      </c>
      <c r="S41" s="43">
        <f>Q41-R41</f>
        <v/>
      </c>
      <c r="T41" s="43">
        <f>MIN(H41,I41)-MIN(H41-M41,I41)</f>
        <v/>
      </c>
      <c r="U41" s="43">
        <f>MIN(H41,J41)-MIN(H41-M41,J41)</f>
        <v/>
      </c>
      <c r="V41" s="43">
        <f>T41*(Parameter!$C$10+Parameter!$C$11)+U41*((Parameter!$C$12+Parameter!$C$13)/2+Parameter!$C$58)</f>
        <v/>
      </c>
      <c r="W41" s="43">
        <f>T41*(Parameter!$C$10+Parameter!$C$11)+U41*((Parameter!$C$12+Parameter!$C$13)/2+Parameter!$C$15)</f>
        <v/>
      </c>
      <c r="X41" s="43">
        <f>MIN(H41,I41)*Parameter!$C$10+MIN(H41,J41)*(0.96*(Parameter!$C$12+Parameter!$C$13)/2+Parameter!$C$58)</f>
        <v/>
      </c>
      <c r="Y41" s="43">
        <f>MIN(H41-M41,I41)*Parameter!$C$10+MIN(H41-M41,J41)*(0.96*(Parameter!$C$12+Parameter!$C$13)/2+Parameter!$C$58)</f>
        <v/>
      </c>
      <c r="Z41" s="43">
        <f>MAX(0,H41-Parameter!$C$32*F41-Parameter!$C$33-X41)</f>
        <v/>
      </c>
      <c r="AA41" s="43">
        <f>MAX(0,H41-L41-Parameter!$C$32*F41-Parameter!$C$33-Y41)</f>
        <v/>
      </c>
      <c r="AB41" s="43">
        <f>MAX(0,(Z41+IF(Eingaben!$C$14=3,Eingaben!$C$15,0))/Parameter!$C$57/F41)</f>
        <v/>
      </c>
      <c r="AC41" s="43">
        <f>Parameter!$C$57*F41*(IF(AB41&lt;=Parameter!$C$18,0,IF(AB41&lt;=Parameter!$C$19,(Parameter!$C$22*(AB41-Parameter!$C$18)/10000+Parameter!$C$23)*(AB41-Parameter!$C$18)/10000,IF(AB41&lt;=Parameter!$C$20,(Parameter!$C$24*(AB41-Parameter!$C$19)/10000+Parameter!$C$25)*(AB41-Parameter!$C$19)/10000+Parameter!$C$26,IF(AB41&lt;=Parameter!$C$21,0.42*AB41-Parameter!$C$27,0.45*AB41-Parameter!$C$28)))))</f>
        <v/>
      </c>
      <c r="AD41" s="43">
        <f>AC41+IF(AC41&lt;=(Parameter!$C$30*Parameter!$C$57*F41),0,MIN(Parameter!$C$29*AC41,Parameter!$C$31*(AC41-(Parameter!$C$30*Parameter!$C$57*F41))))+Eingaben!$C$16*AC41</f>
        <v/>
      </c>
      <c r="AE41" s="43">
        <f>MAX(0,(AA41+IF(Eingaben!$C$14=3,Eingaben!$C$15,0))/Parameter!$C$57/F41)</f>
        <v/>
      </c>
      <c r="AF41" s="43">
        <f>Parameter!$C$57*F41*(IF(AE41&lt;=Parameter!$C$18,0,IF(AE41&lt;=Parameter!$C$19,(Parameter!$C$22*(AE41-Parameter!$C$18)/10000+Parameter!$C$23)*(AE41-Parameter!$C$18)/10000,IF(AE41&lt;=Parameter!$C$20,(Parameter!$C$24*(AE41-Parameter!$C$19)/10000+Parameter!$C$25)*(AE41-Parameter!$C$19)/10000+Parameter!$C$26,IF(AE41&lt;=Parameter!$C$21,0.42*AE41-Parameter!$C$27,0.45*AE41-Parameter!$C$28)))))</f>
        <v/>
      </c>
      <c r="AG41" s="43">
        <f>AF41+IF(AF41&lt;=(Parameter!$C$30*Parameter!$C$57*F41),0,MIN(Parameter!$C$29*AF41,Parameter!$C$31*(AF41-(Parameter!$C$30*Parameter!$C$57*F41))))+Eingaben!$C$16*AF41</f>
        <v/>
      </c>
      <c r="AH41" s="43">
        <f>AD41-AG41</f>
        <v/>
      </c>
      <c r="AI41" s="43">
        <f>MAX(0,K41-V41-AH41)</f>
        <v/>
      </c>
      <c r="AJ41" s="43">
        <f>MIN(AI41,Parameter!$C$49)</f>
        <v/>
      </c>
      <c r="AK41" s="43">
        <f>Parameter!$C$44*MIN(AJ41,Parameter!$C$45)+Parameter!$C$46*MAX(0,MIN(AJ41,Parameter!$C$47)-Parameter!$C$45)</f>
        <v/>
      </c>
      <c r="AL41" s="43">
        <f>MIN(AJ41,Parameter!$C$48)*Eingaben!$C$18*IF(33&lt;Eingaben!$C$19,1,0)</f>
        <v/>
      </c>
      <c r="AM41" s="43">
        <f>MIN(AK41+AL41,MAX(0,Parameter!$C$49-AJ41))</f>
        <v/>
      </c>
      <c r="AN41" s="43">
        <f>MIN(MIN(AJ41,Parameter!$C$47)+AM41,Parameter!$C$50)</f>
        <v/>
      </c>
      <c r="AO41" s="43">
        <f>MAX(0,Z41-AN41)</f>
        <v/>
      </c>
      <c r="AP41" s="43">
        <f>MAX(0,(AO41+IF(Eingaben!$C$14=3,Eingaben!$C$15,0))/Parameter!$C$57/F41)</f>
        <v/>
      </c>
      <c r="AQ41" s="43">
        <f>Parameter!$C$57*F41*(IF(AP41&lt;=Parameter!$C$18,0,IF(AP41&lt;=Parameter!$C$19,(Parameter!$C$22*(AP41-Parameter!$C$18)/10000+Parameter!$C$23)*(AP41-Parameter!$C$18)/10000,IF(AP41&lt;=Parameter!$C$20,(Parameter!$C$24*(AP41-Parameter!$C$19)/10000+Parameter!$C$25)*(AP41-Parameter!$C$19)/10000+Parameter!$C$26,IF(AP41&lt;=Parameter!$C$21,0.42*AP41-Parameter!$C$27,0.45*AP41-Parameter!$C$28)))))</f>
        <v/>
      </c>
      <c r="AR41" s="43">
        <f>AQ41+IF(AQ41&lt;=(Parameter!$C$30*Parameter!$C$57*F41),0,MIN(Parameter!$C$29*AQ41,Parameter!$C$31*(AQ41-(Parameter!$C$30*Parameter!$C$57*F41))))+Eingaben!$C$16*AQ41</f>
        <v/>
      </c>
      <c r="AS41" s="43">
        <f>AD41-AR41</f>
        <v/>
      </c>
      <c r="AT41" s="43">
        <f>MAX(0,AS41-AM41)</f>
        <v/>
      </c>
      <c r="AU41" s="43">
        <f>MIN(AJ41,Parameter!$C$47)+AM41</f>
        <v/>
      </c>
      <c r="AV41" s="43">
        <f>MAX(0,AJ41-Parameter!$C$47)+AT40</f>
        <v/>
      </c>
      <c r="AW41" s="43">
        <f>MAX(0,AI41-Parameter!$C$49)</f>
        <v/>
      </c>
      <c r="AX41" s="43">
        <f>AI41</f>
        <v/>
      </c>
      <c r="AY41" s="43">
        <f>IF(D41=0,AY40,AY40*(1+Parameter!$C$60)+R41*(1+Parameter!$C$60)^0.5)</f>
        <v/>
      </c>
      <c r="AZ41" s="43">
        <f>IF(D41=0,AZ40,AZ40*(1+Parameter!$C$60)+S41*(1+Parameter!$C$60)^0.5)</f>
        <v/>
      </c>
      <c r="BA41" s="43">
        <f>IF(D41=0,BA40,BA40*(1+Parameter!$C$61)+AU41*(1+Parameter!$C$61)^0.5)</f>
        <v/>
      </c>
      <c r="BB41" s="43">
        <f>IF(D41=0,BB40,BB40*(1+Parameter!$C$61)+AV41*(1+Parameter!$C$61)^0.5)</f>
        <v/>
      </c>
      <c r="BC41" s="43">
        <f>IF(D41=0,BC40,BC40*(1+Parameter!$C$62)+AW41*(1+Parameter!$C$62)^0.5-BF41)</f>
        <v/>
      </c>
      <c r="BD41" s="43">
        <f>IF(D41=0,BD40,BD40+AW41+BE41)</f>
        <v/>
      </c>
      <c r="BE41" s="43">
        <f>MAX(0,MIN(BC40*(1+Parameter!$C$62)+AW41*(1+Parameter!$C$62)^0.5-BC40-AW41,BC40*Parameter!$C$39*Parameter!$C$40))</f>
        <v/>
      </c>
      <c r="BF41" s="43">
        <f>MAX(0,BE41*(1-Parameter!$C$37)-Parameter!$C$67)*Parameter!$C$36</f>
        <v/>
      </c>
      <c r="BG41" s="43">
        <f>IF(D41=0,BG40,BG40*(1+Parameter!$C$62)+AX41*(1+Parameter!$C$62)^0.5-BJ41)</f>
        <v/>
      </c>
      <c r="BH41" s="43">
        <f>IF(D41=0,BH40,BH40+AX41+BI41)</f>
        <v/>
      </c>
      <c r="BI41" s="43">
        <f>MAX(0,MIN(BG40*(1+Parameter!$C$62)+AX41*(1+Parameter!$C$62)^0.5-BG40-AX41,BG40*Parameter!$C$39*Parameter!$C$40))</f>
        <v/>
      </c>
      <c r="BJ41" s="43">
        <f>MAX(0,BI41*(1-Parameter!$C$37)-Parameter!$C$67)*Parameter!$C$36</f>
        <v/>
      </c>
      <c r="BK41" s="41">
        <f>T41/(Parameter!$C$8*E41)</f>
        <v/>
      </c>
      <c r="BL41" s="41">
        <f>BL40+BK41</f>
        <v/>
      </c>
    </row>
    <row r="42">
      <c r="A42" s="30">
        <f>2026+34</f>
        <v/>
      </c>
      <c r="B42" s="30">
        <f>Eingaben!$C$5+34</f>
        <v/>
      </c>
      <c r="C42" s="30">
        <f>IF(AND(B42&lt;Eingaben!$C$8,B42&lt;Eingaben!$C$6),1,0)</f>
        <v/>
      </c>
      <c r="D42" s="30">
        <f>IF(B42&lt;Eingaben!$C$6,1,0)</f>
        <v/>
      </c>
      <c r="E42" s="38">
        <f>(1+Eingaben!$C$13)^34</f>
        <v/>
      </c>
      <c r="F42" s="38">
        <f>(1+Eingaben!$C$17)^34</f>
        <v/>
      </c>
      <c r="G42" s="39">
        <f>IF(B42&gt;=Eingaben!$C$9,Eingaben!$C$10,1)</f>
        <v/>
      </c>
      <c r="H42" s="40">
        <f>Eingaben!$C$12*E42*G42*C42</f>
        <v/>
      </c>
      <c r="I42" s="40">
        <f>Parameter!$C$4*E42</f>
        <v/>
      </c>
      <c r="J42" s="40">
        <f>Parameter!$C$5*E42</f>
        <v/>
      </c>
      <c r="K42" s="40">
        <f>MIN(H42,12*(IF(Eingaben!$C$22=2,Umrechnung!$C$54,Eingaben!$C$23))*IF(Eingaben!$C$25=1,E42,1))*C42</f>
        <v/>
      </c>
      <c r="L42" s="40">
        <f>MIN(K42,MAX(0,Parameter!$C$42*I42-P42))</f>
        <v/>
      </c>
      <c r="M42" s="40">
        <f>MIN(K42,MAX(0,Parameter!$C$43*I42-N42))</f>
        <v/>
      </c>
      <c r="N42" s="40">
        <f>C42*IF(K42/12+0.000000001&lt;Eingaben!$C$29,0,12*Eingaben!$C$27*IF(Eingaben!$C$28=1,E42,1))</f>
        <v/>
      </c>
      <c r="O42" s="40">
        <f>IF(Eingaben!$C$30=2,MIN(Eingaben!$C$26*K42,W42),Eingaben!$C$26*IF(Eingaben!$C$30=1,M42,K42))</f>
        <v/>
      </c>
      <c r="P42" s="40">
        <f>O42+N42</f>
        <v/>
      </c>
      <c r="Q42" s="40">
        <f>K42+P42</f>
        <v/>
      </c>
      <c r="R42" s="40">
        <f>MIN(Q42,Parameter!$C$42*I42)</f>
        <v/>
      </c>
      <c r="S42" s="40">
        <f>Q42-R42</f>
        <v/>
      </c>
      <c r="T42" s="40">
        <f>MIN(H42,I42)-MIN(H42-M42,I42)</f>
        <v/>
      </c>
      <c r="U42" s="40">
        <f>MIN(H42,J42)-MIN(H42-M42,J42)</f>
        <v/>
      </c>
      <c r="V42" s="40">
        <f>T42*(Parameter!$C$10+Parameter!$C$11)+U42*((Parameter!$C$12+Parameter!$C$13)/2+Parameter!$C$58)</f>
        <v/>
      </c>
      <c r="W42" s="40">
        <f>T42*(Parameter!$C$10+Parameter!$C$11)+U42*((Parameter!$C$12+Parameter!$C$13)/2+Parameter!$C$15)</f>
        <v/>
      </c>
      <c r="X42" s="40">
        <f>MIN(H42,I42)*Parameter!$C$10+MIN(H42,J42)*(0.96*(Parameter!$C$12+Parameter!$C$13)/2+Parameter!$C$58)</f>
        <v/>
      </c>
      <c r="Y42" s="40">
        <f>MIN(H42-M42,I42)*Parameter!$C$10+MIN(H42-M42,J42)*(0.96*(Parameter!$C$12+Parameter!$C$13)/2+Parameter!$C$58)</f>
        <v/>
      </c>
      <c r="Z42" s="40">
        <f>MAX(0,H42-Parameter!$C$32*F42-Parameter!$C$33-X42)</f>
        <v/>
      </c>
      <c r="AA42" s="40">
        <f>MAX(0,H42-L42-Parameter!$C$32*F42-Parameter!$C$33-Y42)</f>
        <v/>
      </c>
      <c r="AB42" s="40">
        <f>MAX(0,(Z42+IF(Eingaben!$C$14=3,Eingaben!$C$15,0))/Parameter!$C$57/F42)</f>
        <v/>
      </c>
      <c r="AC42" s="40">
        <f>Parameter!$C$57*F42*(IF(AB42&lt;=Parameter!$C$18,0,IF(AB42&lt;=Parameter!$C$19,(Parameter!$C$22*(AB42-Parameter!$C$18)/10000+Parameter!$C$23)*(AB42-Parameter!$C$18)/10000,IF(AB42&lt;=Parameter!$C$20,(Parameter!$C$24*(AB42-Parameter!$C$19)/10000+Parameter!$C$25)*(AB42-Parameter!$C$19)/10000+Parameter!$C$26,IF(AB42&lt;=Parameter!$C$21,0.42*AB42-Parameter!$C$27,0.45*AB42-Parameter!$C$28)))))</f>
        <v/>
      </c>
      <c r="AD42" s="40">
        <f>AC42+IF(AC42&lt;=(Parameter!$C$30*Parameter!$C$57*F42),0,MIN(Parameter!$C$29*AC42,Parameter!$C$31*(AC42-(Parameter!$C$30*Parameter!$C$57*F42))))+Eingaben!$C$16*AC42</f>
        <v/>
      </c>
      <c r="AE42" s="40">
        <f>MAX(0,(AA42+IF(Eingaben!$C$14=3,Eingaben!$C$15,0))/Parameter!$C$57/F42)</f>
        <v/>
      </c>
      <c r="AF42" s="40">
        <f>Parameter!$C$57*F42*(IF(AE42&lt;=Parameter!$C$18,0,IF(AE42&lt;=Parameter!$C$19,(Parameter!$C$22*(AE42-Parameter!$C$18)/10000+Parameter!$C$23)*(AE42-Parameter!$C$18)/10000,IF(AE42&lt;=Parameter!$C$20,(Parameter!$C$24*(AE42-Parameter!$C$19)/10000+Parameter!$C$25)*(AE42-Parameter!$C$19)/10000+Parameter!$C$26,IF(AE42&lt;=Parameter!$C$21,0.42*AE42-Parameter!$C$27,0.45*AE42-Parameter!$C$28)))))</f>
        <v/>
      </c>
      <c r="AG42" s="40">
        <f>AF42+IF(AF42&lt;=(Parameter!$C$30*Parameter!$C$57*F42),0,MIN(Parameter!$C$29*AF42,Parameter!$C$31*(AF42-(Parameter!$C$30*Parameter!$C$57*F42))))+Eingaben!$C$16*AF42</f>
        <v/>
      </c>
      <c r="AH42" s="40">
        <f>AD42-AG42</f>
        <v/>
      </c>
      <c r="AI42" s="40">
        <f>MAX(0,K42-V42-AH42)</f>
        <v/>
      </c>
      <c r="AJ42" s="40">
        <f>MIN(AI42,Parameter!$C$49)</f>
        <v/>
      </c>
      <c r="AK42" s="40">
        <f>Parameter!$C$44*MIN(AJ42,Parameter!$C$45)+Parameter!$C$46*MAX(0,MIN(AJ42,Parameter!$C$47)-Parameter!$C$45)</f>
        <v/>
      </c>
      <c r="AL42" s="40">
        <f>MIN(AJ42,Parameter!$C$48)*Eingaben!$C$18*IF(34&lt;Eingaben!$C$19,1,0)</f>
        <v/>
      </c>
      <c r="AM42" s="40">
        <f>MIN(AK42+AL42,MAX(0,Parameter!$C$49-AJ42))</f>
        <v/>
      </c>
      <c r="AN42" s="40">
        <f>MIN(MIN(AJ42,Parameter!$C$47)+AM42,Parameter!$C$50)</f>
        <v/>
      </c>
      <c r="AO42" s="40">
        <f>MAX(0,Z42-AN42)</f>
        <v/>
      </c>
      <c r="AP42" s="40">
        <f>MAX(0,(AO42+IF(Eingaben!$C$14=3,Eingaben!$C$15,0))/Parameter!$C$57/F42)</f>
        <v/>
      </c>
      <c r="AQ42" s="40">
        <f>Parameter!$C$57*F42*(IF(AP42&lt;=Parameter!$C$18,0,IF(AP42&lt;=Parameter!$C$19,(Parameter!$C$22*(AP42-Parameter!$C$18)/10000+Parameter!$C$23)*(AP42-Parameter!$C$18)/10000,IF(AP42&lt;=Parameter!$C$20,(Parameter!$C$24*(AP42-Parameter!$C$19)/10000+Parameter!$C$25)*(AP42-Parameter!$C$19)/10000+Parameter!$C$26,IF(AP42&lt;=Parameter!$C$21,0.42*AP42-Parameter!$C$27,0.45*AP42-Parameter!$C$28)))))</f>
        <v/>
      </c>
      <c r="AR42" s="40">
        <f>AQ42+IF(AQ42&lt;=(Parameter!$C$30*Parameter!$C$57*F42),0,MIN(Parameter!$C$29*AQ42,Parameter!$C$31*(AQ42-(Parameter!$C$30*Parameter!$C$57*F42))))+Eingaben!$C$16*AQ42</f>
        <v/>
      </c>
      <c r="AS42" s="40">
        <f>AD42-AR42</f>
        <v/>
      </c>
      <c r="AT42" s="40">
        <f>MAX(0,AS42-AM42)</f>
        <v/>
      </c>
      <c r="AU42" s="40">
        <f>MIN(AJ42,Parameter!$C$47)+AM42</f>
        <v/>
      </c>
      <c r="AV42" s="40">
        <f>MAX(0,AJ42-Parameter!$C$47)+AT41</f>
        <v/>
      </c>
      <c r="AW42" s="40">
        <f>MAX(0,AI42-Parameter!$C$49)</f>
        <v/>
      </c>
      <c r="AX42" s="40">
        <f>AI42</f>
        <v/>
      </c>
      <c r="AY42" s="40">
        <f>IF(D42=0,AY41,AY41*(1+Parameter!$C$60)+R42*(1+Parameter!$C$60)^0.5)</f>
        <v/>
      </c>
      <c r="AZ42" s="40">
        <f>IF(D42=0,AZ41,AZ41*(1+Parameter!$C$60)+S42*(1+Parameter!$C$60)^0.5)</f>
        <v/>
      </c>
      <c r="BA42" s="40">
        <f>IF(D42=0,BA41,BA41*(1+Parameter!$C$61)+AU42*(1+Parameter!$C$61)^0.5)</f>
        <v/>
      </c>
      <c r="BB42" s="40">
        <f>IF(D42=0,BB41,BB41*(1+Parameter!$C$61)+AV42*(1+Parameter!$C$61)^0.5)</f>
        <v/>
      </c>
      <c r="BC42" s="40">
        <f>IF(D42=0,BC41,BC41*(1+Parameter!$C$62)+AW42*(1+Parameter!$C$62)^0.5-BF42)</f>
        <v/>
      </c>
      <c r="BD42" s="40">
        <f>IF(D42=0,BD41,BD41+AW42+BE42)</f>
        <v/>
      </c>
      <c r="BE42" s="40">
        <f>MAX(0,MIN(BC41*(1+Parameter!$C$62)+AW42*(1+Parameter!$C$62)^0.5-BC41-AW42,BC41*Parameter!$C$39*Parameter!$C$40))</f>
        <v/>
      </c>
      <c r="BF42" s="40">
        <f>MAX(0,BE42*(1-Parameter!$C$37)-Parameter!$C$67)*Parameter!$C$36</f>
        <v/>
      </c>
      <c r="BG42" s="40">
        <f>IF(D42=0,BG41,BG41*(1+Parameter!$C$62)+AX42*(1+Parameter!$C$62)^0.5-BJ42)</f>
        <v/>
      </c>
      <c r="BH42" s="40">
        <f>IF(D42=0,BH41,BH41+AX42+BI42)</f>
        <v/>
      </c>
      <c r="BI42" s="40">
        <f>MAX(0,MIN(BG41*(1+Parameter!$C$62)+AX42*(1+Parameter!$C$62)^0.5-BG41-AX42,BG41*Parameter!$C$39*Parameter!$C$40))</f>
        <v/>
      </c>
      <c r="BJ42" s="40">
        <f>MAX(0,BI42*(1-Parameter!$C$37)-Parameter!$C$67)*Parameter!$C$36</f>
        <v/>
      </c>
      <c r="BK42" s="38">
        <f>T42/(Parameter!$C$8*E42)</f>
        <v/>
      </c>
      <c r="BL42" s="38">
        <f>BL41+BK42</f>
        <v/>
      </c>
    </row>
    <row r="43">
      <c r="A43" s="32">
        <f>2026+35</f>
        <v/>
      </c>
      <c r="B43" s="32">
        <f>Eingaben!$C$5+35</f>
        <v/>
      </c>
      <c r="C43" s="32">
        <f>IF(AND(B43&lt;Eingaben!$C$8,B43&lt;Eingaben!$C$6),1,0)</f>
        <v/>
      </c>
      <c r="D43" s="32">
        <f>IF(B43&lt;Eingaben!$C$6,1,0)</f>
        <v/>
      </c>
      <c r="E43" s="41">
        <f>(1+Eingaben!$C$13)^35</f>
        <v/>
      </c>
      <c r="F43" s="41">
        <f>(1+Eingaben!$C$17)^35</f>
        <v/>
      </c>
      <c r="G43" s="42">
        <f>IF(B43&gt;=Eingaben!$C$9,Eingaben!$C$10,1)</f>
        <v/>
      </c>
      <c r="H43" s="43">
        <f>Eingaben!$C$12*E43*G43*C43</f>
        <v/>
      </c>
      <c r="I43" s="43">
        <f>Parameter!$C$4*E43</f>
        <v/>
      </c>
      <c r="J43" s="43">
        <f>Parameter!$C$5*E43</f>
        <v/>
      </c>
      <c r="K43" s="43">
        <f>MIN(H43,12*(IF(Eingaben!$C$22=2,Umrechnung!$C$54,Eingaben!$C$23))*IF(Eingaben!$C$25=1,E43,1))*C43</f>
        <v/>
      </c>
      <c r="L43" s="43">
        <f>MIN(K43,MAX(0,Parameter!$C$42*I43-P43))</f>
        <v/>
      </c>
      <c r="M43" s="43">
        <f>MIN(K43,MAX(0,Parameter!$C$43*I43-N43))</f>
        <v/>
      </c>
      <c r="N43" s="43">
        <f>C43*IF(K43/12+0.000000001&lt;Eingaben!$C$29,0,12*Eingaben!$C$27*IF(Eingaben!$C$28=1,E43,1))</f>
        <v/>
      </c>
      <c r="O43" s="43">
        <f>IF(Eingaben!$C$30=2,MIN(Eingaben!$C$26*K43,W43),Eingaben!$C$26*IF(Eingaben!$C$30=1,M43,K43))</f>
        <v/>
      </c>
      <c r="P43" s="43">
        <f>O43+N43</f>
        <v/>
      </c>
      <c r="Q43" s="43">
        <f>K43+P43</f>
        <v/>
      </c>
      <c r="R43" s="43">
        <f>MIN(Q43,Parameter!$C$42*I43)</f>
        <v/>
      </c>
      <c r="S43" s="43">
        <f>Q43-R43</f>
        <v/>
      </c>
      <c r="T43" s="43">
        <f>MIN(H43,I43)-MIN(H43-M43,I43)</f>
        <v/>
      </c>
      <c r="U43" s="43">
        <f>MIN(H43,J43)-MIN(H43-M43,J43)</f>
        <v/>
      </c>
      <c r="V43" s="43">
        <f>T43*(Parameter!$C$10+Parameter!$C$11)+U43*((Parameter!$C$12+Parameter!$C$13)/2+Parameter!$C$58)</f>
        <v/>
      </c>
      <c r="W43" s="43">
        <f>T43*(Parameter!$C$10+Parameter!$C$11)+U43*((Parameter!$C$12+Parameter!$C$13)/2+Parameter!$C$15)</f>
        <v/>
      </c>
      <c r="X43" s="43">
        <f>MIN(H43,I43)*Parameter!$C$10+MIN(H43,J43)*(0.96*(Parameter!$C$12+Parameter!$C$13)/2+Parameter!$C$58)</f>
        <v/>
      </c>
      <c r="Y43" s="43">
        <f>MIN(H43-M43,I43)*Parameter!$C$10+MIN(H43-M43,J43)*(0.96*(Parameter!$C$12+Parameter!$C$13)/2+Parameter!$C$58)</f>
        <v/>
      </c>
      <c r="Z43" s="43">
        <f>MAX(0,H43-Parameter!$C$32*F43-Parameter!$C$33-X43)</f>
        <v/>
      </c>
      <c r="AA43" s="43">
        <f>MAX(0,H43-L43-Parameter!$C$32*F43-Parameter!$C$33-Y43)</f>
        <v/>
      </c>
      <c r="AB43" s="43">
        <f>MAX(0,(Z43+IF(Eingaben!$C$14=3,Eingaben!$C$15,0))/Parameter!$C$57/F43)</f>
        <v/>
      </c>
      <c r="AC43" s="43">
        <f>Parameter!$C$57*F43*(IF(AB43&lt;=Parameter!$C$18,0,IF(AB43&lt;=Parameter!$C$19,(Parameter!$C$22*(AB43-Parameter!$C$18)/10000+Parameter!$C$23)*(AB43-Parameter!$C$18)/10000,IF(AB43&lt;=Parameter!$C$20,(Parameter!$C$24*(AB43-Parameter!$C$19)/10000+Parameter!$C$25)*(AB43-Parameter!$C$19)/10000+Parameter!$C$26,IF(AB43&lt;=Parameter!$C$21,0.42*AB43-Parameter!$C$27,0.45*AB43-Parameter!$C$28)))))</f>
        <v/>
      </c>
      <c r="AD43" s="43">
        <f>AC43+IF(AC43&lt;=(Parameter!$C$30*Parameter!$C$57*F43),0,MIN(Parameter!$C$29*AC43,Parameter!$C$31*(AC43-(Parameter!$C$30*Parameter!$C$57*F43))))+Eingaben!$C$16*AC43</f>
        <v/>
      </c>
      <c r="AE43" s="43">
        <f>MAX(0,(AA43+IF(Eingaben!$C$14=3,Eingaben!$C$15,0))/Parameter!$C$57/F43)</f>
        <v/>
      </c>
      <c r="AF43" s="43">
        <f>Parameter!$C$57*F43*(IF(AE43&lt;=Parameter!$C$18,0,IF(AE43&lt;=Parameter!$C$19,(Parameter!$C$22*(AE43-Parameter!$C$18)/10000+Parameter!$C$23)*(AE43-Parameter!$C$18)/10000,IF(AE43&lt;=Parameter!$C$20,(Parameter!$C$24*(AE43-Parameter!$C$19)/10000+Parameter!$C$25)*(AE43-Parameter!$C$19)/10000+Parameter!$C$26,IF(AE43&lt;=Parameter!$C$21,0.42*AE43-Parameter!$C$27,0.45*AE43-Parameter!$C$28)))))</f>
        <v/>
      </c>
      <c r="AG43" s="43">
        <f>AF43+IF(AF43&lt;=(Parameter!$C$30*Parameter!$C$57*F43),0,MIN(Parameter!$C$29*AF43,Parameter!$C$31*(AF43-(Parameter!$C$30*Parameter!$C$57*F43))))+Eingaben!$C$16*AF43</f>
        <v/>
      </c>
      <c r="AH43" s="43">
        <f>AD43-AG43</f>
        <v/>
      </c>
      <c r="AI43" s="43">
        <f>MAX(0,K43-V43-AH43)</f>
        <v/>
      </c>
      <c r="AJ43" s="43">
        <f>MIN(AI43,Parameter!$C$49)</f>
        <v/>
      </c>
      <c r="AK43" s="43">
        <f>Parameter!$C$44*MIN(AJ43,Parameter!$C$45)+Parameter!$C$46*MAX(0,MIN(AJ43,Parameter!$C$47)-Parameter!$C$45)</f>
        <v/>
      </c>
      <c r="AL43" s="43">
        <f>MIN(AJ43,Parameter!$C$48)*Eingaben!$C$18*IF(35&lt;Eingaben!$C$19,1,0)</f>
        <v/>
      </c>
      <c r="AM43" s="43">
        <f>MIN(AK43+AL43,MAX(0,Parameter!$C$49-AJ43))</f>
        <v/>
      </c>
      <c r="AN43" s="43">
        <f>MIN(MIN(AJ43,Parameter!$C$47)+AM43,Parameter!$C$50)</f>
        <v/>
      </c>
      <c r="AO43" s="43">
        <f>MAX(0,Z43-AN43)</f>
        <v/>
      </c>
      <c r="AP43" s="43">
        <f>MAX(0,(AO43+IF(Eingaben!$C$14=3,Eingaben!$C$15,0))/Parameter!$C$57/F43)</f>
        <v/>
      </c>
      <c r="AQ43" s="43">
        <f>Parameter!$C$57*F43*(IF(AP43&lt;=Parameter!$C$18,0,IF(AP43&lt;=Parameter!$C$19,(Parameter!$C$22*(AP43-Parameter!$C$18)/10000+Parameter!$C$23)*(AP43-Parameter!$C$18)/10000,IF(AP43&lt;=Parameter!$C$20,(Parameter!$C$24*(AP43-Parameter!$C$19)/10000+Parameter!$C$25)*(AP43-Parameter!$C$19)/10000+Parameter!$C$26,IF(AP43&lt;=Parameter!$C$21,0.42*AP43-Parameter!$C$27,0.45*AP43-Parameter!$C$28)))))</f>
        <v/>
      </c>
      <c r="AR43" s="43">
        <f>AQ43+IF(AQ43&lt;=(Parameter!$C$30*Parameter!$C$57*F43),0,MIN(Parameter!$C$29*AQ43,Parameter!$C$31*(AQ43-(Parameter!$C$30*Parameter!$C$57*F43))))+Eingaben!$C$16*AQ43</f>
        <v/>
      </c>
      <c r="AS43" s="43">
        <f>AD43-AR43</f>
        <v/>
      </c>
      <c r="AT43" s="43">
        <f>MAX(0,AS43-AM43)</f>
        <v/>
      </c>
      <c r="AU43" s="43">
        <f>MIN(AJ43,Parameter!$C$47)+AM43</f>
        <v/>
      </c>
      <c r="AV43" s="43">
        <f>MAX(0,AJ43-Parameter!$C$47)+AT42</f>
        <v/>
      </c>
      <c r="AW43" s="43">
        <f>MAX(0,AI43-Parameter!$C$49)</f>
        <v/>
      </c>
      <c r="AX43" s="43">
        <f>AI43</f>
        <v/>
      </c>
      <c r="AY43" s="43">
        <f>IF(D43=0,AY42,AY42*(1+Parameter!$C$60)+R43*(1+Parameter!$C$60)^0.5)</f>
        <v/>
      </c>
      <c r="AZ43" s="43">
        <f>IF(D43=0,AZ42,AZ42*(1+Parameter!$C$60)+S43*(1+Parameter!$C$60)^0.5)</f>
        <v/>
      </c>
      <c r="BA43" s="43">
        <f>IF(D43=0,BA42,BA42*(1+Parameter!$C$61)+AU43*(1+Parameter!$C$61)^0.5)</f>
        <v/>
      </c>
      <c r="BB43" s="43">
        <f>IF(D43=0,BB42,BB42*(1+Parameter!$C$61)+AV43*(1+Parameter!$C$61)^0.5)</f>
        <v/>
      </c>
      <c r="BC43" s="43">
        <f>IF(D43=0,BC42,BC42*(1+Parameter!$C$62)+AW43*(1+Parameter!$C$62)^0.5-BF43)</f>
        <v/>
      </c>
      <c r="BD43" s="43">
        <f>IF(D43=0,BD42,BD42+AW43+BE43)</f>
        <v/>
      </c>
      <c r="BE43" s="43">
        <f>MAX(0,MIN(BC42*(1+Parameter!$C$62)+AW43*(1+Parameter!$C$62)^0.5-BC42-AW43,BC42*Parameter!$C$39*Parameter!$C$40))</f>
        <v/>
      </c>
      <c r="BF43" s="43">
        <f>MAX(0,BE43*(1-Parameter!$C$37)-Parameter!$C$67)*Parameter!$C$36</f>
        <v/>
      </c>
      <c r="BG43" s="43">
        <f>IF(D43=0,BG42,BG42*(1+Parameter!$C$62)+AX43*(1+Parameter!$C$62)^0.5-BJ43)</f>
        <v/>
      </c>
      <c r="BH43" s="43">
        <f>IF(D43=0,BH42,BH42+AX43+BI43)</f>
        <v/>
      </c>
      <c r="BI43" s="43">
        <f>MAX(0,MIN(BG42*(1+Parameter!$C$62)+AX43*(1+Parameter!$C$62)^0.5-BG42-AX43,BG42*Parameter!$C$39*Parameter!$C$40))</f>
        <v/>
      </c>
      <c r="BJ43" s="43">
        <f>MAX(0,BI43*(1-Parameter!$C$37)-Parameter!$C$67)*Parameter!$C$36</f>
        <v/>
      </c>
      <c r="BK43" s="41">
        <f>T43/(Parameter!$C$8*E43)</f>
        <v/>
      </c>
      <c r="BL43" s="41">
        <f>BL42+BK43</f>
        <v/>
      </c>
    </row>
    <row r="44">
      <c r="A44" s="30">
        <f>2026+36</f>
        <v/>
      </c>
      <c r="B44" s="30">
        <f>Eingaben!$C$5+36</f>
        <v/>
      </c>
      <c r="C44" s="30">
        <f>IF(AND(B44&lt;Eingaben!$C$8,B44&lt;Eingaben!$C$6),1,0)</f>
        <v/>
      </c>
      <c r="D44" s="30">
        <f>IF(B44&lt;Eingaben!$C$6,1,0)</f>
        <v/>
      </c>
      <c r="E44" s="38">
        <f>(1+Eingaben!$C$13)^36</f>
        <v/>
      </c>
      <c r="F44" s="38">
        <f>(1+Eingaben!$C$17)^36</f>
        <v/>
      </c>
      <c r="G44" s="39">
        <f>IF(B44&gt;=Eingaben!$C$9,Eingaben!$C$10,1)</f>
        <v/>
      </c>
      <c r="H44" s="40">
        <f>Eingaben!$C$12*E44*G44*C44</f>
        <v/>
      </c>
      <c r="I44" s="40">
        <f>Parameter!$C$4*E44</f>
        <v/>
      </c>
      <c r="J44" s="40">
        <f>Parameter!$C$5*E44</f>
        <v/>
      </c>
      <c r="K44" s="40">
        <f>MIN(H44,12*(IF(Eingaben!$C$22=2,Umrechnung!$C$54,Eingaben!$C$23))*IF(Eingaben!$C$25=1,E44,1))*C44</f>
        <v/>
      </c>
      <c r="L44" s="40">
        <f>MIN(K44,MAX(0,Parameter!$C$42*I44-P44))</f>
        <v/>
      </c>
      <c r="M44" s="40">
        <f>MIN(K44,MAX(0,Parameter!$C$43*I44-N44))</f>
        <v/>
      </c>
      <c r="N44" s="40">
        <f>C44*IF(K44/12+0.000000001&lt;Eingaben!$C$29,0,12*Eingaben!$C$27*IF(Eingaben!$C$28=1,E44,1))</f>
        <v/>
      </c>
      <c r="O44" s="40">
        <f>IF(Eingaben!$C$30=2,MIN(Eingaben!$C$26*K44,W44),Eingaben!$C$26*IF(Eingaben!$C$30=1,M44,K44))</f>
        <v/>
      </c>
      <c r="P44" s="40">
        <f>O44+N44</f>
        <v/>
      </c>
      <c r="Q44" s="40">
        <f>K44+P44</f>
        <v/>
      </c>
      <c r="R44" s="40">
        <f>MIN(Q44,Parameter!$C$42*I44)</f>
        <v/>
      </c>
      <c r="S44" s="40">
        <f>Q44-R44</f>
        <v/>
      </c>
      <c r="T44" s="40">
        <f>MIN(H44,I44)-MIN(H44-M44,I44)</f>
        <v/>
      </c>
      <c r="U44" s="40">
        <f>MIN(H44,J44)-MIN(H44-M44,J44)</f>
        <v/>
      </c>
      <c r="V44" s="40">
        <f>T44*(Parameter!$C$10+Parameter!$C$11)+U44*((Parameter!$C$12+Parameter!$C$13)/2+Parameter!$C$58)</f>
        <v/>
      </c>
      <c r="W44" s="40">
        <f>T44*(Parameter!$C$10+Parameter!$C$11)+U44*((Parameter!$C$12+Parameter!$C$13)/2+Parameter!$C$15)</f>
        <v/>
      </c>
      <c r="X44" s="40">
        <f>MIN(H44,I44)*Parameter!$C$10+MIN(H44,J44)*(0.96*(Parameter!$C$12+Parameter!$C$13)/2+Parameter!$C$58)</f>
        <v/>
      </c>
      <c r="Y44" s="40">
        <f>MIN(H44-M44,I44)*Parameter!$C$10+MIN(H44-M44,J44)*(0.96*(Parameter!$C$12+Parameter!$C$13)/2+Parameter!$C$58)</f>
        <v/>
      </c>
      <c r="Z44" s="40">
        <f>MAX(0,H44-Parameter!$C$32*F44-Parameter!$C$33-X44)</f>
        <v/>
      </c>
      <c r="AA44" s="40">
        <f>MAX(0,H44-L44-Parameter!$C$32*F44-Parameter!$C$33-Y44)</f>
        <v/>
      </c>
      <c r="AB44" s="40">
        <f>MAX(0,(Z44+IF(Eingaben!$C$14=3,Eingaben!$C$15,0))/Parameter!$C$57/F44)</f>
        <v/>
      </c>
      <c r="AC44" s="40">
        <f>Parameter!$C$57*F44*(IF(AB44&lt;=Parameter!$C$18,0,IF(AB44&lt;=Parameter!$C$19,(Parameter!$C$22*(AB44-Parameter!$C$18)/10000+Parameter!$C$23)*(AB44-Parameter!$C$18)/10000,IF(AB44&lt;=Parameter!$C$20,(Parameter!$C$24*(AB44-Parameter!$C$19)/10000+Parameter!$C$25)*(AB44-Parameter!$C$19)/10000+Parameter!$C$26,IF(AB44&lt;=Parameter!$C$21,0.42*AB44-Parameter!$C$27,0.45*AB44-Parameter!$C$28)))))</f>
        <v/>
      </c>
      <c r="AD44" s="40">
        <f>AC44+IF(AC44&lt;=(Parameter!$C$30*Parameter!$C$57*F44),0,MIN(Parameter!$C$29*AC44,Parameter!$C$31*(AC44-(Parameter!$C$30*Parameter!$C$57*F44))))+Eingaben!$C$16*AC44</f>
        <v/>
      </c>
      <c r="AE44" s="40">
        <f>MAX(0,(AA44+IF(Eingaben!$C$14=3,Eingaben!$C$15,0))/Parameter!$C$57/F44)</f>
        <v/>
      </c>
      <c r="AF44" s="40">
        <f>Parameter!$C$57*F44*(IF(AE44&lt;=Parameter!$C$18,0,IF(AE44&lt;=Parameter!$C$19,(Parameter!$C$22*(AE44-Parameter!$C$18)/10000+Parameter!$C$23)*(AE44-Parameter!$C$18)/10000,IF(AE44&lt;=Parameter!$C$20,(Parameter!$C$24*(AE44-Parameter!$C$19)/10000+Parameter!$C$25)*(AE44-Parameter!$C$19)/10000+Parameter!$C$26,IF(AE44&lt;=Parameter!$C$21,0.42*AE44-Parameter!$C$27,0.45*AE44-Parameter!$C$28)))))</f>
        <v/>
      </c>
      <c r="AG44" s="40">
        <f>AF44+IF(AF44&lt;=(Parameter!$C$30*Parameter!$C$57*F44),0,MIN(Parameter!$C$29*AF44,Parameter!$C$31*(AF44-(Parameter!$C$30*Parameter!$C$57*F44))))+Eingaben!$C$16*AF44</f>
        <v/>
      </c>
      <c r="AH44" s="40">
        <f>AD44-AG44</f>
        <v/>
      </c>
      <c r="AI44" s="40">
        <f>MAX(0,K44-V44-AH44)</f>
        <v/>
      </c>
      <c r="AJ44" s="40">
        <f>MIN(AI44,Parameter!$C$49)</f>
        <v/>
      </c>
      <c r="AK44" s="40">
        <f>Parameter!$C$44*MIN(AJ44,Parameter!$C$45)+Parameter!$C$46*MAX(0,MIN(AJ44,Parameter!$C$47)-Parameter!$C$45)</f>
        <v/>
      </c>
      <c r="AL44" s="40">
        <f>MIN(AJ44,Parameter!$C$48)*Eingaben!$C$18*IF(36&lt;Eingaben!$C$19,1,0)</f>
        <v/>
      </c>
      <c r="AM44" s="40">
        <f>MIN(AK44+AL44,MAX(0,Parameter!$C$49-AJ44))</f>
        <v/>
      </c>
      <c r="AN44" s="40">
        <f>MIN(MIN(AJ44,Parameter!$C$47)+AM44,Parameter!$C$50)</f>
        <v/>
      </c>
      <c r="AO44" s="40">
        <f>MAX(0,Z44-AN44)</f>
        <v/>
      </c>
      <c r="AP44" s="40">
        <f>MAX(0,(AO44+IF(Eingaben!$C$14=3,Eingaben!$C$15,0))/Parameter!$C$57/F44)</f>
        <v/>
      </c>
      <c r="AQ44" s="40">
        <f>Parameter!$C$57*F44*(IF(AP44&lt;=Parameter!$C$18,0,IF(AP44&lt;=Parameter!$C$19,(Parameter!$C$22*(AP44-Parameter!$C$18)/10000+Parameter!$C$23)*(AP44-Parameter!$C$18)/10000,IF(AP44&lt;=Parameter!$C$20,(Parameter!$C$24*(AP44-Parameter!$C$19)/10000+Parameter!$C$25)*(AP44-Parameter!$C$19)/10000+Parameter!$C$26,IF(AP44&lt;=Parameter!$C$21,0.42*AP44-Parameter!$C$27,0.45*AP44-Parameter!$C$28)))))</f>
        <v/>
      </c>
      <c r="AR44" s="40">
        <f>AQ44+IF(AQ44&lt;=(Parameter!$C$30*Parameter!$C$57*F44),0,MIN(Parameter!$C$29*AQ44,Parameter!$C$31*(AQ44-(Parameter!$C$30*Parameter!$C$57*F44))))+Eingaben!$C$16*AQ44</f>
        <v/>
      </c>
      <c r="AS44" s="40">
        <f>AD44-AR44</f>
        <v/>
      </c>
      <c r="AT44" s="40">
        <f>MAX(0,AS44-AM44)</f>
        <v/>
      </c>
      <c r="AU44" s="40">
        <f>MIN(AJ44,Parameter!$C$47)+AM44</f>
        <v/>
      </c>
      <c r="AV44" s="40">
        <f>MAX(0,AJ44-Parameter!$C$47)+AT43</f>
        <v/>
      </c>
      <c r="AW44" s="40">
        <f>MAX(0,AI44-Parameter!$C$49)</f>
        <v/>
      </c>
      <c r="AX44" s="40">
        <f>AI44</f>
        <v/>
      </c>
      <c r="AY44" s="40">
        <f>IF(D44=0,AY43,AY43*(1+Parameter!$C$60)+R44*(1+Parameter!$C$60)^0.5)</f>
        <v/>
      </c>
      <c r="AZ44" s="40">
        <f>IF(D44=0,AZ43,AZ43*(1+Parameter!$C$60)+S44*(1+Parameter!$C$60)^0.5)</f>
        <v/>
      </c>
      <c r="BA44" s="40">
        <f>IF(D44=0,BA43,BA43*(1+Parameter!$C$61)+AU44*(1+Parameter!$C$61)^0.5)</f>
        <v/>
      </c>
      <c r="BB44" s="40">
        <f>IF(D44=0,BB43,BB43*(1+Parameter!$C$61)+AV44*(1+Parameter!$C$61)^0.5)</f>
        <v/>
      </c>
      <c r="BC44" s="40">
        <f>IF(D44=0,BC43,BC43*(1+Parameter!$C$62)+AW44*(1+Parameter!$C$62)^0.5-BF44)</f>
        <v/>
      </c>
      <c r="BD44" s="40">
        <f>IF(D44=0,BD43,BD43+AW44+BE44)</f>
        <v/>
      </c>
      <c r="BE44" s="40">
        <f>MAX(0,MIN(BC43*(1+Parameter!$C$62)+AW44*(1+Parameter!$C$62)^0.5-BC43-AW44,BC43*Parameter!$C$39*Parameter!$C$40))</f>
        <v/>
      </c>
      <c r="BF44" s="40">
        <f>MAX(0,BE44*(1-Parameter!$C$37)-Parameter!$C$67)*Parameter!$C$36</f>
        <v/>
      </c>
      <c r="BG44" s="40">
        <f>IF(D44=0,BG43,BG43*(1+Parameter!$C$62)+AX44*(1+Parameter!$C$62)^0.5-BJ44)</f>
        <v/>
      </c>
      <c r="BH44" s="40">
        <f>IF(D44=0,BH43,BH43+AX44+BI44)</f>
        <v/>
      </c>
      <c r="BI44" s="40">
        <f>MAX(0,MIN(BG43*(1+Parameter!$C$62)+AX44*(1+Parameter!$C$62)^0.5-BG43-AX44,BG43*Parameter!$C$39*Parameter!$C$40))</f>
        <v/>
      </c>
      <c r="BJ44" s="40">
        <f>MAX(0,BI44*(1-Parameter!$C$37)-Parameter!$C$67)*Parameter!$C$36</f>
        <v/>
      </c>
      <c r="BK44" s="38">
        <f>T44/(Parameter!$C$8*E44)</f>
        <v/>
      </c>
      <c r="BL44" s="38">
        <f>BL43+BK44</f>
        <v/>
      </c>
    </row>
    <row r="45">
      <c r="A45" s="32">
        <f>2026+37</f>
        <v/>
      </c>
      <c r="B45" s="32">
        <f>Eingaben!$C$5+37</f>
        <v/>
      </c>
      <c r="C45" s="32">
        <f>IF(AND(B45&lt;Eingaben!$C$8,B45&lt;Eingaben!$C$6),1,0)</f>
        <v/>
      </c>
      <c r="D45" s="32">
        <f>IF(B45&lt;Eingaben!$C$6,1,0)</f>
        <v/>
      </c>
      <c r="E45" s="41">
        <f>(1+Eingaben!$C$13)^37</f>
        <v/>
      </c>
      <c r="F45" s="41">
        <f>(1+Eingaben!$C$17)^37</f>
        <v/>
      </c>
      <c r="G45" s="42">
        <f>IF(B45&gt;=Eingaben!$C$9,Eingaben!$C$10,1)</f>
        <v/>
      </c>
      <c r="H45" s="43">
        <f>Eingaben!$C$12*E45*G45*C45</f>
        <v/>
      </c>
      <c r="I45" s="43">
        <f>Parameter!$C$4*E45</f>
        <v/>
      </c>
      <c r="J45" s="43">
        <f>Parameter!$C$5*E45</f>
        <v/>
      </c>
      <c r="K45" s="43">
        <f>MIN(H45,12*(IF(Eingaben!$C$22=2,Umrechnung!$C$54,Eingaben!$C$23))*IF(Eingaben!$C$25=1,E45,1))*C45</f>
        <v/>
      </c>
      <c r="L45" s="43">
        <f>MIN(K45,MAX(0,Parameter!$C$42*I45-P45))</f>
        <v/>
      </c>
      <c r="M45" s="43">
        <f>MIN(K45,MAX(0,Parameter!$C$43*I45-N45))</f>
        <v/>
      </c>
      <c r="N45" s="43">
        <f>C45*IF(K45/12+0.000000001&lt;Eingaben!$C$29,0,12*Eingaben!$C$27*IF(Eingaben!$C$28=1,E45,1))</f>
        <v/>
      </c>
      <c r="O45" s="43">
        <f>IF(Eingaben!$C$30=2,MIN(Eingaben!$C$26*K45,W45),Eingaben!$C$26*IF(Eingaben!$C$30=1,M45,K45))</f>
        <v/>
      </c>
      <c r="P45" s="43">
        <f>O45+N45</f>
        <v/>
      </c>
      <c r="Q45" s="43">
        <f>K45+P45</f>
        <v/>
      </c>
      <c r="R45" s="43">
        <f>MIN(Q45,Parameter!$C$42*I45)</f>
        <v/>
      </c>
      <c r="S45" s="43">
        <f>Q45-R45</f>
        <v/>
      </c>
      <c r="T45" s="43">
        <f>MIN(H45,I45)-MIN(H45-M45,I45)</f>
        <v/>
      </c>
      <c r="U45" s="43">
        <f>MIN(H45,J45)-MIN(H45-M45,J45)</f>
        <v/>
      </c>
      <c r="V45" s="43">
        <f>T45*(Parameter!$C$10+Parameter!$C$11)+U45*((Parameter!$C$12+Parameter!$C$13)/2+Parameter!$C$58)</f>
        <v/>
      </c>
      <c r="W45" s="43">
        <f>T45*(Parameter!$C$10+Parameter!$C$11)+U45*((Parameter!$C$12+Parameter!$C$13)/2+Parameter!$C$15)</f>
        <v/>
      </c>
      <c r="X45" s="43">
        <f>MIN(H45,I45)*Parameter!$C$10+MIN(H45,J45)*(0.96*(Parameter!$C$12+Parameter!$C$13)/2+Parameter!$C$58)</f>
        <v/>
      </c>
      <c r="Y45" s="43">
        <f>MIN(H45-M45,I45)*Parameter!$C$10+MIN(H45-M45,J45)*(0.96*(Parameter!$C$12+Parameter!$C$13)/2+Parameter!$C$58)</f>
        <v/>
      </c>
      <c r="Z45" s="43">
        <f>MAX(0,H45-Parameter!$C$32*F45-Parameter!$C$33-X45)</f>
        <v/>
      </c>
      <c r="AA45" s="43">
        <f>MAX(0,H45-L45-Parameter!$C$32*F45-Parameter!$C$33-Y45)</f>
        <v/>
      </c>
      <c r="AB45" s="43">
        <f>MAX(0,(Z45+IF(Eingaben!$C$14=3,Eingaben!$C$15,0))/Parameter!$C$57/F45)</f>
        <v/>
      </c>
      <c r="AC45" s="43">
        <f>Parameter!$C$57*F45*(IF(AB45&lt;=Parameter!$C$18,0,IF(AB45&lt;=Parameter!$C$19,(Parameter!$C$22*(AB45-Parameter!$C$18)/10000+Parameter!$C$23)*(AB45-Parameter!$C$18)/10000,IF(AB45&lt;=Parameter!$C$20,(Parameter!$C$24*(AB45-Parameter!$C$19)/10000+Parameter!$C$25)*(AB45-Parameter!$C$19)/10000+Parameter!$C$26,IF(AB45&lt;=Parameter!$C$21,0.42*AB45-Parameter!$C$27,0.45*AB45-Parameter!$C$28)))))</f>
        <v/>
      </c>
      <c r="AD45" s="43">
        <f>AC45+IF(AC45&lt;=(Parameter!$C$30*Parameter!$C$57*F45),0,MIN(Parameter!$C$29*AC45,Parameter!$C$31*(AC45-(Parameter!$C$30*Parameter!$C$57*F45))))+Eingaben!$C$16*AC45</f>
        <v/>
      </c>
      <c r="AE45" s="43">
        <f>MAX(0,(AA45+IF(Eingaben!$C$14=3,Eingaben!$C$15,0))/Parameter!$C$57/F45)</f>
        <v/>
      </c>
      <c r="AF45" s="43">
        <f>Parameter!$C$57*F45*(IF(AE45&lt;=Parameter!$C$18,0,IF(AE45&lt;=Parameter!$C$19,(Parameter!$C$22*(AE45-Parameter!$C$18)/10000+Parameter!$C$23)*(AE45-Parameter!$C$18)/10000,IF(AE45&lt;=Parameter!$C$20,(Parameter!$C$24*(AE45-Parameter!$C$19)/10000+Parameter!$C$25)*(AE45-Parameter!$C$19)/10000+Parameter!$C$26,IF(AE45&lt;=Parameter!$C$21,0.42*AE45-Parameter!$C$27,0.45*AE45-Parameter!$C$28)))))</f>
        <v/>
      </c>
      <c r="AG45" s="43">
        <f>AF45+IF(AF45&lt;=(Parameter!$C$30*Parameter!$C$57*F45),0,MIN(Parameter!$C$29*AF45,Parameter!$C$31*(AF45-(Parameter!$C$30*Parameter!$C$57*F45))))+Eingaben!$C$16*AF45</f>
        <v/>
      </c>
      <c r="AH45" s="43">
        <f>AD45-AG45</f>
        <v/>
      </c>
      <c r="AI45" s="43">
        <f>MAX(0,K45-V45-AH45)</f>
        <v/>
      </c>
      <c r="AJ45" s="43">
        <f>MIN(AI45,Parameter!$C$49)</f>
        <v/>
      </c>
      <c r="AK45" s="43">
        <f>Parameter!$C$44*MIN(AJ45,Parameter!$C$45)+Parameter!$C$46*MAX(0,MIN(AJ45,Parameter!$C$47)-Parameter!$C$45)</f>
        <v/>
      </c>
      <c r="AL45" s="43">
        <f>MIN(AJ45,Parameter!$C$48)*Eingaben!$C$18*IF(37&lt;Eingaben!$C$19,1,0)</f>
        <v/>
      </c>
      <c r="AM45" s="43">
        <f>MIN(AK45+AL45,MAX(0,Parameter!$C$49-AJ45))</f>
        <v/>
      </c>
      <c r="AN45" s="43">
        <f>MIN(MIN(AJ45,Parameter!$C$47)+AM45,Parameter!$C$50)</f>
        <v/>
      </c>
      <c r="AO45" s="43">
        <f>MAX(0,Z45-AN45)</f>
        <v/>
      </c>
      <c r="AP45" s="43">
        <f>MAX(0,(AO45+IF(Eingaben!$C$14=3,Eingaben!$C$15,0))/Parameter!$C$57/F45)</f>
        <v/>
      </c>
      <c r="AQ45" s="43">
        <f>Parameter!$C$57*F45*(IF(AP45&lt;=Parameter!$C$18,0,IF(AP45&lt;=Parameter!$C$19,(Parameter!$C$22*(AP45-Parameter!$C$18)/10000+Parameter!$C$23)*(AP45-Parameter!$C$18)/10000,IF(AP45&lt;=Parameter!$C$20,(Parameter!$C$24*(AP45-Parameter!$C$19)/10000+Parameter!$C$25)*(AP45-Parameter!$C$19)/10000+Parameter!$C$26,IF(AP45&lt;=Parameter!$C$21,0.42*AP45-Parameter!$C$27,0.45*AP45-Parameter!$C$28)))))</f>
        <v/>
      </c>
      <c r="AR45" s="43">
        <f>AQ45+IF(AQ45&lt;=(Parameter!$C$30*Parameter!$C$57*F45),0,MIN(Parameter!$C$29*AQ45,Parameter!$C$31*(AQ45-(Parameter!$C$30*Parameter!$C$57*F45))))+Eingaben!$C$16*AQ45</f>
        <v/>
      </c>
      <c r="AS45" s="43">
        <f>AD45-AR45</f>
        <v/>
      </c>
      <c r="AT45" s="43">
        <f>MAX(0,AS45-AM45)</f>
        <v/>
      </c>
      <c r="AU45" s="43">
        <f>MIN(AJ45,Parameter!$C$47)+AM45</f>
        <v/>
      </c>
      <c r="AV45" s="43">
        <f>MAX(0,AJ45-Parameter!$C$47)+AT44</f>
        <v/>
      </c>
      <c r="AW45" s="43">
        <f>MAX(0,AI45-Parameter!$C$49)</f>
        <v/>
      </c>
      <c r="AX45" s="43">
        <f>AI45</f>
        <v/>
      </c>
      <c r="AY45" s="43">
        <f>IF(D45=0,AY44,AY44*(1+Parameter!$C$60)+R45*(1+Parameter!$C$60)^0.5)</f>
        <v/>
      </c>
      <c r="AZ45" s="43">
        <f>IF(D45=0,AZ44,AZ44*(1+Parameter!$C$60)+S45*(1+Parameter!$C$60)^0.5)</f>
        <v/>
      </c>
      <c r="BA45" s="43">
        <f>IF(D45=0,BA44,BA44*(1+Parameter!$C$61)+AU45*(1+Parameter!$C$61)^0.5)</f>
        <v/>
      </c>
      <c r="BB45" s="43">
        <f>IF(D45=0,BB44,BB44*(1+Parameter!$C$61)+AV45*(1+Parameter!$C$61)^0.5)</f>
        <v/>
      </c>
      <c r="BC45" s="43">
        <f>IF(D45=0,BC44,BC44*(1+Parameter!$C$62)+AW45*(1+Parameter!$C$62)^0.5-BF45)</f>
        <v/>
      </c>
      <c r="BD45" s="43">
        <f>IF(D45=0,BD44,BD44+AW45+BE45)</f>
        <v/>
      </c>
      <c r="BE45" s="43">
        <f>MAX(0,MIN(BC44*(1+Parameter!$C$62)+AW45*(1+Parameter!$C$62)^0.5-BC44-AW45,BC44*Parameter!$C$39*Parameter!$C$40))</f>
        <v/>
      </c>
      <c r="BF45" s="43">
        <f>MAX(0,BE45*(1-Parameter!$C$37)-Parameter!$C$67)*Parameter!$C$36</f>
        <v/>
      </c>
      <c r="BG45" s="43">
        <f>IF(D45=0,BG44,BG44*(1+Parameter!$C$62)+AX45*(1+Parameter!$C$62)^0.5-BJ45)</f>
        <v/>
      </c>
      <c r="BH45" s="43">
        <f>IF(D45=0,BH44,BH44+AX45+BI45)</f>
        <v/>
      </c>
      <c r="BI45" s="43">
        <f>MAX(0,MIN(BG44*(1+Parameter!$C$62)+AX45*(1+Parameter!$C$62)^0.5-BG44-AX45,BG44*Parameter!$C$39*Parameter!$C$40))</f>
        <v/>
      </c>
      <c r="BJ45" s="43">
        <f>MAX(0,BI45*(1-Parameter!$C$37)-Parameter!$C$67)*Parameter!$C$36</f>
        <v/>
      </c>
      <c r="BK45" s="41">
        <f>T45/(Parameter!$C$8*E45)</f>
        <v/>
      </c>
      <c r="BL45" s="41">
        <f>BL44+BK45</f>
        <v/>
      </c>
    </row>
    <row r="46">
      <c r="A46" s="30">
        <f>2026+38</f>
        <v/>
      </c>
      <c r="B46" s="30">
        <f>Eingaben!$C$5+38</f>
        <v/>
      </c>
      <c r="C46" s="30">
        <f>IF(AND(B46&lt;Eingaben!$C$8,B46&lt;Eingaben!$C$6),1,0)</f>
        <v/>
      </c>
      <c r="D46" s="30">
        <f>IF(B46&lt;Eingaben!$C$6,1,0)</f>
        <v/>
      </c>
      <c r="E46" s="38">
        <f>(1+Eingaben!$C$13)^38</f>
        <v/>
      </c>
      <c r="F46" s="38">
        <f>(1+Eingaben!$C$17)^38</f>
        <v/>
      </c>
      <c r="G46" s="39">
        <f>IF(B46&gt;=Eingaben!$C$9,Eingaben!$C$10,1)</f>
        <v/>
      </c>
      <c r="H46" s="40">
        <f>Eingaben!$C$12*E46*G46*C46</f>
        <v/>
      </c>
      <c r="I46" s="40">
        <f>Parameter!$C$4*E46</f>
        <v/>
      </c>
      <c r="J46" s="40">
        <f>Parameter!$C$5*E46</f>
        <v/>
      </c>
      <c r="K46" s="40">
        <f>MIN(H46,12*(IF(Eingaben!$C$22=2,Umrechnung!$C$54,Eingaben!$C$23))*IF(Eingaben!$C$25=1,E46,1))*C46</f>
        <v/>
      </c>
      <c r="L46" s="40">
        <f>MIN(K46,MAX(0,Parameter!$C$42*I46-P46))</f>
        <v/>
      </c>
      <c r="M46" s="40">
        <f>MIN(K46,MAX(0,Parameter!$C$43*I46-N46))</f>
        <v/>
      </c>
      <c r="N46" s="40">
        <f>C46*IF(K46/12+0.000000001&lt;Eingaben!$C$29,0,12*Eingaben!$C$27*IF(Eingaben!$C$28=1,E46,1))</f>
        <v/>
      </c>
      <c r="O46" s="40">
        <f>IF(Eingaben!$C$30=2,MIN(Eingaben!$C$26*K46,W46),Eingaben!$C$26*IF(Eingaben!$C$30=1,M46,K46))</f>
        <v/>
      </c>
      <c r="P46" s="40">
        <f>O46+N46</f>
        <v/>
      </c>
      <c r="Q46" s="40">
        <f>K46+P46</f>
        <v/>
      </c>
      <c r="R46" s="40">
        <f>MIN(Q46,Parameter!$C$42*I46)</f>
        <v/>
      </c>
      <c r="S46" s="40">
        <f>Q46-R46</f>
        <v/>
      </c>
      <c r="T46" s="40">
        <f>MIN(H46,I46)-MIN(H46-M46,I46)</f>
        <v/>
      </c>
      <c r="U46" s="40">
        <f>MIN(H46,J46)-MIN(H46-M46,J46)</f>
        <v/>
      </c>
      <c r="V46" s="40">
        <f>T46*(Parameter!$C$10+Parameter!$C$11)+U46*((Parameter!$C$12+Parameter!$C$13)/2+Parameter!$C$58)</f>
        <v/>
      </c>
      <c r="W46" s="40">
        <f>T46*(Parameter!$C$10+Parameter!$C$11)+U46*((Parameter!$C$12+Parameter!$C$13)/2+Parameter!$C$15)</f>
        <v/>
      </c>
      <c r="X46" s="40">
        <f>MIN(H46,I46)*Parameter!$C$10+MIN(H46,J46)*(0.96*(Parameter!$C$12+Parameter!$C$13)/2+Parameter!$C$58)</f>
        <v/>
      </c>
      <c r="Y46" s="40">
        <f>MIN(H46-M46,I46)*Parameter!$C$10+MIN(H46-M46,J46)*(0.96*(Parameter!$C$12+Parameter!$C$13)/2+Parameter!$C$58)</f>
        <v/>
      </c>
      <c r="Z46" s="40">
        <f>MAX(0,H46-Parameter!$C$32*F46-Parameter!$C$33-X46)</f>
        <v/>
      </c>
      <c r="AA46" s="40">
        <f>MAX(0,H46-L46-Parameter!$C$32*F46-Parameter!$C$33-Y46)</f>
        <v/>
      </c>
      <c r="AB46" s="40">
        <f>MAX(0,(Z46+IF(Eingaben!$C$14=3,Eingaben!$C$15,0))/Parameter!$C$57/F46)</f>
        <v/>
      </c>
      <c r="AC46" s="40">
        <f>Parameter!$C$57*F46*(IF(AB46&lt;=Parameter!$C$18,0,IF(AB46&lt;=Parameter!$C$19,(Parameter!$C$22*(AB46-Parameter!$C$18)/10000+Parameter!$C$23)*(AB46-Parameter!$C$18)/10000,IF(AB46&lt;=Parameter!$C$20,(Parameter!$C$24*(AB46-Parameter!$C$19)/10000+Parameter!$C$25)*(AB46-Parameter!$C$19)/10000+Parameter!$C$26,IF(AB46&lt;=Parameter!$C$21,0.42*AB46-Parameter!$C$27,0.45*AB46-Parameter!$C$28)))))</f>
        <v/>
      </c>
      <c r="AD46" s="40">
        <f>AC46+IF(AC46&lt;=(Parameter!$C$30*Parameter!$C$57*F46),0,MIN(Parameter!$C$29*AC46,Parameter!$C$31*(AC46-(Parameter!$C$30*Parameter!$C$57*F46))))+Eingaben!$C$16*AC46</f>
        <v/>
      </c>
      <c r="AE46" s="40">
        <f>MAX(0,(AA46+IF(Eingaben!$C$14=3,Eingaben!$C$15,0))/Parameter!$C$57/F46)</f>
        <v/>
      </c>
      <c r="AF46" s="40">
        <f>Parameter!$C$57*F46*(IF(AE46&lt;=Parameter!$C$18,0,IF(AE46&lt;=Parameter!$C$19,(Parameter!$C$22*(AE46-Parameter!$C$18)/10000+Parameter!$C$23)*(AE46-Parameter!$C$18)/10000,IF(AE46&lt;=Parameter!$C$20,(Parameter!$C$24*(AE46-Parameter!$C$19)/10000+Parameter!$C$25)*(AE46-Parameter!$C$19)/10000+Parameter!$C$26,IF(AE46&lt;=Parameter!$C$21,0.42*AE46-Parameter!$C$27,0.45*AE46-Parameter!$C$28)))))</f>
        <v/>
      </c>
      <c r="AG46" s="40">
        <f>AF46+IF(AF46&lt;=(Parameter!$C$30*Parameter!$C$57*F46),0,MIN(Parameter!$C$29*AF46,Parameter!$C$31*(AF46-(Parameter!$C$30*Parameter!$C$57*F46))))+Eingaben!$C$16*AF46</f>
        <v/>
      </c>
      <c r="AH46" s="40">
        <f>AD46-AG46</f>
        <v/>
      </c>
      <c r="AI46" s="40">
        <f>MAX(0,K46-V46-AH46)</f>
        <v/>
      </c>
      <c r="AJ46" s="40">
        <f>MIN(AI46,Parameter!$C$49)</f>
        <v/>
      </c>
      <c r="AK46" s="40">
        <f>Parameter!$C$44*MIN(AJ46,Parameter!$C$45)+Parameter!$C$46*MAX(0,MIN(AJ46,Parameter!$C$47)-Parameter!$C$45)</f>
        <v/>
      </c>
      <c r="AL46" s="40">
        <f>MIN(AJ46,Parameter!$C$48)*Eingaben!$C$18*IF(38&lt;Eingaben!$C$19,1,0)</f>
        <v/>
      </c>
      <c r="AM46" s="40">
        <f>MIN(AK46+AL46,MAX(0,Parameter!$C$49-AJ46))</f>
        <v/>
      </c>
      <c r="AN46" s="40">
        <f>MIN(MIN(AJ46,Parameter!$C$47)+AM46,Parameter!$C$50)</f>
        <v/>
      </c>
      <c r="AO46" s="40">
        <f>MAX(0,Z46-AN46)</f>
        <v/>
      </c>
      <c r="AP46" s="40">
        <f>MAX(0,(AO46+IF(Eingaben!$C$14=3,Eingaben!$C$15,0))/Parameter!$C$57/F46)</f>
        <v/>
      </c>
      <c r="AQ46" s="40">
        <f>Parameter!$C$57*F46*(IF(AP46&lt;=Parameter!$C$18,0,IF(AP46&lt;=Parameter!$C$19,(Parameter!$C$22*(AP46-Parameter!$C$18)/10000+Parameter!$C$23)*(AP46-Parameter!$C$18)/10000,IF(AP46&lt;=Parameter!$C$20,(Parameter!$C$24*(AP46-Parameter!$C$19)/10000+Parameter!$C$25)*(AP46-Parameter!$C$19)/10000+Parameter!$C$26,IF(AP46&lt;=Parameter!$C$21,0.42*AP46-Parameter!$C$27,0.45*AP46-Parameter!$C$28)))))</f>
        <v/>
      </c>
      <c r="AR46" s="40">
        <f>AQ46+IF(AQ46&lt;=(Parameter!$C$30*Parameter!$C$57*F46),0,MIN(Parameter!$C$29*AQ46,Parameter!$C$31*(AQ46-(Parameter!$C$30*Parameter!$C$57*F46))))+Eingaben!$C$16*AQ46</f>
        <v/>
      </c>
      <c r="AS46" s="40">
        <f>AD46-AR46</f>
        <v/>
      </c>
      <c r="AT46" s="40">
        <f>MAX(0,AS46-AM46)</f>
        <v/>
      </c>
      <c r="AU46" s="40">
        <f>MIN(AJ46,Parameter!$C$47)+AM46</f>
        <v/>
      </c>
      <c r="AV46" s="40">
        <f>MAX(0,AJ46-Parameter!$C$47)+AT45</f>
        <v/>
      </c>
      <c r="AW46" s="40">
        <f>MAX(0,AI46-Parameter!$C$49)</f>
        <v/>
      </c>
      <c r="AX46" s="40">
        <f>AI46</f>
        <v/>
      </c>
      <c r="AY46" s="40">
        <f>IF(D46=0,AY45,AY45*(1+Parameter!$C$60)+R46*(1+Parameter!$C$60)^0.5)</f>
        <v/>
      </c>
      <c r="AZ46" s="40">
        <f>IF(D46=0,AZ45,AZ45*(1+Parameter!$C$60)+S46*(1+Parameter!$C$60)^0.5)</f>
        <v/>
      </c>
      <c r="BA46" s="40">
        <f>IF(D46=0,BA45,BA45*(1+Parameter!$C$61)+AU46*(1+Parameter!$C$61)^0.5)</f>
        <v/>
      </c>
      <c r="BB46" s="40">
        <f>IF(D46=0,BB45,BB45*(1+Parameter!$C$61)+AV46*(1+Parameter!$C$61)^0.5)</f>
        <v/>
      </c>
      <c r="BC46" s="40">
        <f>IF(D46=0,BC45,BC45*(1+Parameter!$C$62)+AW46*(1+Parameter!$C$62)^0.5-BF46)</f>
        <v/>
      </c>
      <c r="BD46" s="40">
        <f>IF(D46=0,BD45,BD45+AW46+BE46)</f>
        <v/>
      </c>
      <c r="BE46" s="40">
        <f>MAX(0,MIN(BC45*(1+Parameter!$C$62)+AW46*(1+Parameter!$C$62)^0.5-BC45-AW46,BC45*Parameter!$C$39*Parameter!$C$40))</f>
        <v/>
      </c>
      <c r="BF46" s="40">
        <f>MAX(0,BE46*(1-Parameter!$C$37)-Parameter!$C$67)*Parameter!$C$36</f>
        <v/>
      </c>
      <c r="BG46" s="40">
        <f>IF(D46=0,BG45,BG45*(1+Parameter!$C$62)+AX46*(1+Parameter!$C$62)^0.5-BJ46)</f>
        <v/>
      </c>
      <c r="BH46" s="40">
        <f>IF(D46=0,BH45,BH45+AX46+BI46)</f>
        <v/>
      </c>
      <c r="BI46" s="40">
        <f>MAX(0,MIN(BG45*(1+Parameter!$C$62)+AX46*(1+Parameter!$C$62)^0.5-BG45-AX46,BG45*Parameter!$C$39*Parameter!$C$40))</f>
        <v/>
      </c>
      <c r="BJ46" s="40">
        <f>MAX(0,BI46*(1-Parameter!$C$37)-Parameter!$C$67)*Parameter!$C$36</f>
        <v/>
      </c>
      <c r="BK46" s="38">
        <f>T46/(Parameter!$C$8*E46)</f>
        <v/>
      </c>
      <c r="BL46" s="38">
        <f>BL45+BK46</f>
        <v/>
      </c>
    </row>
    <row r="47">
      <c r="A47" s="32">
        <f>2026+39</f>
        <v/>
      </c>
      <c r="B47" s="32">
        <f>Eingaben!$C$5+39</f>
        <v/>
      </c>
      <c r="C47" s="32">
        <f>IF(AND(B47&lt;Eingaben!$C$8,B47&lt;Eingaben!$C$6),1,0)</f>
        <v/>
      </c>
      <c r="D47" s="32">
        <f>IF(B47&lt;Eingaben!$C$6,1,0)</f>
        <v/>
      </c>
      <c r="E47" s="41">
        <f>(1+Eingaben!$C$13)^39</f>
        <v/>
      </c>
      <c r="F47" s="41">
        <f>(1+Eingaben!$C$17)^39</f>
        <v/>
      </c>
      <c r="G47" s="42">
        <f>IF(B47&gt;=Eingaben!$C$9,Eingaben!$C$10,1)</f>
        <v/>
      </c>
      <c r="H47" s="43">
        <f>Eingaben!$C$12*E47*G47*C47</f>
        <v/>
      </c>
      <c r="I47" s="43">
        <f>Parameter!$C$4*E47</f>
        <v/>
      </c>
      <c r="J47" s="43">
        <f>Parameter!$C$5*E47</f>
        <v/>
      </c>
      <c r="K47" s="43">
        <f>MIN(H47,12*(IF(Eingaben!$C$22=2,Umrechnung!$C$54,Eingaben!$C$23))*IF(Eingaben!$C$25=1,E47,1))*C47</f>
        <v/>
      </c>
      <c r="L47" s="43">
        <f>MIN(K47,MAX(0,Parameter!$C$42*I47-P47))</f>
        <v/>
      </c>
      <c r="M47" s="43">
        <f>MIN(K47,MAX(0,Parameter!$C$43*I47-N47))</f>
        <v/>
      </c>
      <c r="N47" s="43">
        <f>C47*IF(K47/12+0.000000001&lt;Eingaben!$C$29,0,12*Eingaben!$C$27*IF(Eingaben!$C$28=1,E47,1))</f>
        <v/>
      </c>
      <c r="O47" s="43">
        <f>IF(Eingaben!$C$30=2,MIN(Eingaben!$C$26*K47,W47),Eingaben!$C$26*IF(Eingaben!$C$30=1,M47,K47))</f>
        <v/>
      </c>
      <c r="P47" s="43">
        <f>O47+N47</f>
        <v/>
      </c>
      <c r="Q47" s="43">
        <f>K47+P47</f>
        <v/>
      </c>
      <c r="R47" s="43">
        <f>MIN(Q47,Parameter!$C$42*I47)</f>
        <v/>
      </c>
      <c r="S47" s="43">
        <f>Q47-R47</f>
        <v/>
      </c>
      <c r="T47" s="43">
        <f>MIN(H47,I47)-MIN(H47-M47,I47)</f>
        <v/>
      </c>
      <c r="U47" s="43">
        <f>MIN(H47,J47)-MIN(H47-M47,J47)</f>
        <v/>
      </c>
      <c r="V47" s="43">
        <f>T47*(Parameter!$C$10+Parameter!$C$11)+U47*((Parameter!$C$12+Parameter!$C$13)/2+Parameter!$C$58)</f>
        <v/>
      </c>
      <c r="W47" s="43">
        <f>T47*(Parameter!$C$10+Parameter!$C$11)+U47*((Parameter!$C$12+Parameter!$C$13)/2+Parameter!$C$15)</f>
        <v/>
      </c>
      <c r="X47" s="43">
        <f>MIN(H47,I47)*Parameter!$C$10+MIN(H47,J47)*(0.96*(Parameter!$C$12+Parameter!$C$13)/2+Parameter!$C$58)</f>
        <v/>
      </c>
      <c r="Y47" s="43">
        <f>MIN(H47-M47,I47)*Parameter!$C$10+MIN(H47-M47,J47)*(0.96*(Parameter!$C$12+Parameter!$C$13)/2+Parameter!$C$58)</f>
        <v/>
      </c>
      <c r="Z47" s="43">
        <f>MAX(0,H47-Parameter!$C$32*F47-Parameter!$C$33-X47)</f>
        <v/>
      </c>
      <c r="AA47" s="43">
        <f>MAX(0,H47-L47-Parameter!$C$32*F47-Parameter!$C$33-Y47)</f>
        <v/>
      </c>
      <c r="AB47" s="43">
        <f>MAX(0,(Z47+IF(Eingaben!$C$14=3,Eingaben!$C$15,0))/Parameter!$C$57/F47)</f>
        <v/>
      </c>
      <c r="AC47" s="43">
        <f>Parameter!$C$57*F47*(IF(AB47&lt;=Parameter!$C$18,0,IF(AB47&lt;=Parameter!$C$19,(Parameter!$C$22*(AB47-Parameter!$C$18)/10000+Parameter!$C$23)*(AB47-Parameter!$C$18)/10000,IF(AB47&lt;=Parameter!$C$20,(Parameter!$C$24*(AB47-Parameter!$C$19)/10000+Parameter!$C$25)*(AB47-Parameter!$C$19)/10000+Parameter!$C$26,IF(AB47&lt;=Parameter!$C$21,0.42*AB47-Parameter!$C$27,0.45*AB47-Parameter!$C$28)))))</f>
        <v/>
      </c>
      <c r="AD47" s="43">
        <f>AC47+IF(AC47&lt;=(Parameter!$C$30*Parameter!$C$57*F47),0,MIN(Parameter!$C$29*AC47,Parameter!$C$31*(AC47-(Parameter!$C$30*Parameter!$C$57*F47))))+Eingaben!$C$16*AC47</f>
        <v/>
      </c>
      <c r="AE47" s="43">
        <f>MAX(0,(AA47+IF(Eingaben!$C$14=3,Eingaben!$C$15,0))/Parameter!$C$57/F47)</f>
        <v/>
      </c>
      <c r="AF47" s="43">
        <f>Parameter!$C$57*F47*(IF(AE47&lt;=Parameter!$C$18,0,IF(AE47&lt;=Parameter!$C$19,(Parameter!$C$22*(AE47-Parameter!$C$18)/10000+Parameter!$C$23)*(AE47-Parameter!$C$18)/10000,IF(AE47&lt;=Parameter!$C$20,(Parameter!$C$24*(AE47-Parameter!$C$19)/10000+Parameter!$C$25)*(AE47-Parameter!$C$19)/10000+Parameter!$C$26,IF(AE47&lt;=Parameter!$C$21,0.42*AE47-Parameter!$C$27,0.45*AE47-Parameter!$C$28)))))</f>
        <v/>
      </c>
      <c r="AG47" s="43">
        <f>AF47+IF(AF47&lt;=(Parameter!$C$30*Parameter!$C$57*F47),0,MIN(Parameter!$C$29*AF47,Parameter!$C$31*(AF47-(Parameter!$C$30*Parameter!$C$57*F47))))+Eingaben!$C$16*AF47</f>
        <v/>
      </c>
      <c r="AH47" s="43">
        <f>AD47-AG47</f>
        <v/>
      </c>
      <c r="AI47" s="43">
        <f>MAX(0,K47-V47-AH47)</f>
        <v/>
      </c>
      <c r="AJ47" s="43">
        <f>MIN(AI47,Parameter!$C$49)</f>
        <v/>
      </c>
      <c r="AK47" s="43">
        <f>Parameter!$C$44*MIN(AJ47,Parameter!$C$45)+Parameter!$C$46*MAX(0,MIN(AJ47,Parameter!$C$47)-Parameter!$C$45)</f>
        <v/>
      </c>
      <c r="AL47" s="43">
        <f>MIN(AJ47,Parameter!$C$48)*Eingaben!$C$18*IF(39&lt;Eingaben!$C$19,1,0)</f>
        <v/>
      </c>
      <c r="AM47" s="43">
        <f>MIN(AK47+AL47,MAX(0,Parameter!$C$49-AJ47))</f>
        <v/>
      </c>
      <c r="AN47" s="43">
        <f>MIN(MIN(AJ47,Parameter!$C$47)+AM47,Parameter!$C$50)</f>
        <v/>
      </c>
      <c r="AO47" s="43">
        <f>MAX(0,Z47-AN47)</f>
        <v/>
      </c>
      <c r="AP47" s="43">
        <f>MAX(0,(AO47+IF(Eingaben!$C$14=3,Eingaben!$C$15,0))/Parameter!$C$57/F47)</f>
        <v/>
      </c>
      <c r="AQ47" s="43">
        <f>Parameter!$C$57*F47*(IF(AP47&lt;=Parameter!$C$18,0,IF(AP47&lt;=Parameter!$C$19,(Parameter!$C$22*(AP47-Parameter!$C$18)/10000+Parameter!$C$23)*(AP47-Parameter!$C$18)/10000,IF(AP47&lt;=Parameter!$C$20,(Parameter!$C$24*(AP47-Parameter!$C$19)/10000+Parameter!$C$25)*(AP47-Parameter!$C$19)/10000+Parameter!$C$26,IF(AP47&lt;=Parameter!$C$21,0.42*AP47-Parameter!$C$27,0.45*AP47-Parameter!$C$28)))))</f>
        <v/>
      </c>
      <c r="AR47" s="43">
        <f>AQ47+IF(AQ47&lt;=(Parameter!$C$30*Parameter!$C$57*F47),0,MIN(Parameter!$C$29*AQ47,Parameter!$C$31*(AQ47-(Parameter!$C$30*Parameter!$C$57*F47))))+Eingaben!$C$16*AQ47</f>
        <v/>
      </c>
      <c r="AS47" s="43">
        <f>AD47-AR47</f>
        <v/>
      </c>
      <c r="AT47" s="43">
        <f>MAX(0,AS47-AM47)</f>
        <v/>
      </c>
      <c r="AU47" s="43">
        <f>MIN(AJ47,Parameter!$C$47)+AM47</f>
        <v/>
      </c>
      <c r="AV47" s="43">
        <f>MAX(0,AJ47-Parameter!$C$47)+AT46</f>
        <v/>
      </c>
      <c r="AW47" s="43">
        <f>MAX(0,AI47-Parameter!$C$49)</f>
        <v/>
      </c>
      <c r="AX47" s="43">
        <f>AI47</f>
        <v/>
      </c>
      <c r="AY47" s="43">
        <f>IF(D47=0,AY46,AY46*(1+Parameter!$C$60)+R47*(1+Parameter!$C$60)^0.5)</f>
        <v/>
      </c>
      <c r="AZ47" s="43">
        <f>IF(D47=0,AZ46,AZ46*(1+Parameter!$C$60)+S47*(1+Parameter!$C$60)^0.5)</f>
        <v/>
      </c>
      <c r="BA47" s="43">
        <f>IF(D47=0,BA46,BA46*(1+Parameter!$C$61)+AU47*(1+Parameter!$C$61)^0.5)</f>
        <v/>
      </c>
      <c r="BB47" s="43">
        <f>IF(D47=0,BB46,BB46*(1+Parameter!$C$61)+AV47*(1+Parameter!$C$61)^0.5)</f>
        <v/>
      </c>
      <c r="BC47" s="43">
        <f>IF(D47=0,BC46,BC46*(1+Parameter!$C$62)+AW47*(1+Parameter!$C$62)^0.5-BF47)</f>
        <v/>
      </c>
      <c r="BD47" s="43">
        <f>IF(D47=0,BD46,BD46+AW47+BE47)</f>
        <v/>
      </c>
      <c r="BE47" s="43">
        <f>MAX(0,MIN(BC46*(1+Parameter!$C$62)+AW47*(1+Parameter!$C$62)^0.5-BC46-AW47,BC46*Parameter!$C$39*Parameter!$C$40))</f>
        <v/>
      </c>
      <c r="BF47" s="43">
        <f>MAX(0,BE47*(1-Parameter!$C$37)-Parameter!$C$67)*Parameter!$C$36</f>
        <v/>
      </c>
      <c r="BG47" s="43">
        <f>IF(D47=0,BG46,BG46*(1+Parameter!$C$62)+AX47*(1+Parameter!$C$62)^0.5-BJ47)</f>
        <v/>
      </c>
      <c r="BH47" s="43">
        <f>IF(D47=0,BH46,BH46+AX47+BI47)</f>
        <v/>
      </c>
      <c r="BI47" s="43">
        <f>MAX(0,MIN(BG46*(1+Parameter!$C$62)+AX47*(1+Parameter!$C$62)^0.5-BG46-AX47,BG46*Parameter!$C$39*Parameter!$C$40))</f>
        <v/>
      </c>
      <c r="BJ47" s="43">
        <f>MAX(0,BI47*(1-Parameter!$C$37)-Parameter!$C$67)*Parameter!$C$36</f>
        <v/>
      </c>
      <c r="BK47" s="41">
        <f>T47/(Parameter!$C$8*E47)</f>
        <v/>
      </c>
      <c r="BL47" s="41">
        <f>BL46+BK47</f>
        <v/>
      </c>
    </row>
    <row r="48">
      <c r="A48" s="30">
        <f>2026+40</f>
        <v/>
      </c>
      <c r="B48" s="30">
        <f>Eingaben!$C$5+40</f>
        <v/>
      </c>
      <c r="C48" s="30">
        <f>IF(AND(B48&lt;Eingaben!$C$8,B48&lt;Eingaben!$C$6),1,0)</f>
        <v/>
      </c>
      <c r="D48" s="30">
        <f>IF(B48&lt;Eingaben!$C$6,1,0)</f>
        <v/>
      </c>
      <c r="E48" s="38">
        <f>(1+Eingaben!$C$13)^40</f>
        <v/>
      </c>
      <c r="F48" s="38">
        <f>(1+Eingaben!$C$17)^40</f>
        <v/>
      </c>
      <c r="G48" s="39">
        <f>IF(B48&gt;=Eingaben!$C$9,Eingaben!$C$10,1)</f>
        <v/>
      </c>
      <c r="H48" s="40">
        <f>Eingaben!$C$12*E48*G48*C48</f>
        <v/>
      </c>
      <c r="I48" s="40">
        <f>Parameter!$C$4*E48</f>
        <v/>
      </c>
      <c r="J48" s="40">
        <f>Parameter!$C$5*E48</f>
        <v/>
      </c>
      <c r="K48" s="40">
        <f>MIN(H48,12*(IF(Eingaben!$C$22=2,Umrechnung!$C$54,Eingaben!$C$23))*IF(Eingaben!$C$25=1,E48,1))*C48</f>
        <v/>
      </c>
      <c r="L48" s="40">
        <f>MIN(K48,MAX(0,Parameter!$C$42*I48-P48))</f>
        <v/>
      </c>
      <c r="M48" s="40">
        <f>MIN(K48,MAX(0,Parameter!$C$43*I48-N48))</f>
        <v/>
      </c>
      <c r="N48" s="40">
        <f>C48*IF(K48/12+0.000000001&lt;Eingaben!$C$29,0,12*Eingaben!$C$27*IF(Eingaben!$C$28=1,E48,1))</f>
        <v/>
      </c>
      <c r="O48" s="40">
        <f>IF(Eingaben!$C$30=2,MIN(Eingaben!$C$26*K48,W48),Eingaben!$C$26*IF(Eingaben!$C$30=1,M48,K48))</f>
        <v/>
      </c>
      <c r="P48" s="40">
        <f>O48+N48</f>
        <v/>
      </c>
      <c r="Q48" s="40">
        <f>K48+P48</f>
        <v/>
      </c>
      <c r="R48" s="40">
        <f>MIN(Q48,Parameter!$C$42*I48)</f>
        <v/>
      </c>
      <c r="S48" s="40">
        <f>Q48-R48</f>
        <v/>
      </c>
      <c r="T48" s="40">
        <f>MIN(H48,I48)-MIN(H48-M48,I48)</f>
        <v/>
      </c>
      <c r="U48" s="40">
        <f>MIN(H48,J48)-MIN(H48-M48,J48)</f>
        <v/>
      </c>
      <c r="V48" s="40">
        <f>T48*(Parameter!$C$10+Parameter!$C$11)+U48*((Parameter!$C$12+Parameter!$C$13)/2+Parameter!$C$58)</f>
        <v/>
      </c>
      <c r="W48" s="40">
        <f>T48*(Parameter!$C$10+Parameter!$C$11)+U48*((Parameter!$C$12+Parameter!$C$13)/2+Parameter!$C$15)</f>
        <v/>
      </c>
      <c r="X48" s="40">
        <f>MIN(H48,I48)*Parameter!$C$10+MIN(H48,J48)*(0.96*(Parameter!$C$12+Parameter!$C$13)/2+Parameter!$C$58)</f>
        <v/>
      </c>
      <c r="Y48" s="40">
        <f>MIN(H48-M48,I48)*Parameter!$C$10+MIN(H48-M48,J48)*(0.96*(Parameter!$C$12+Parameter!$C$13)/2+Parameter!$C$58)</f>
        <v/>
      </c>
      <c r="Z48" s="40">
        <f>MAX(0,H48-Parameter!$C$32*F48-Parameter!$C$33-X48)</f>
        <v/>
      </c>
      <c r="AA48" s="40">
        <f>MAX(0,H48-L48-Parameter!$C$32*F48-Parameter!$C$33-Y48)</f>
        <v/>
      </c>
      <c r="AB48" s="40">
        <f>MAX(0,(Z48+IF(Eingaben!$C$14=3,Eingaben!$C$15,0))/Parameter!$C$57/F48)</f>
        <v/>
      </c>
      <c r="AC48" s="40">
        <f>Parameter!$C$57*F48*(IF(AB48&lt;=Parameter!$C$18,0,IF(AB48&lt;=Parameter!$C$19,(Parameter!$C$22*(AB48-Parameter!$C$18)/10000+Parameter!$C$23)*(AB48-Parameter!$C$18)/10000,IF(AB48&lt;=Parameter!$C$20,(Parameter!$C$24*(AB48-Parameter!$C$19)/10000+Parameter!$C$25)*(AB48-Parameter!$C$19)/10000+Parameter!$C$26,IF(AB48&lt;=Parameter!$C$21,0.42*AB48-Parameter!$C$27,0.45*AB48-Parameter!$C$28)))))</f>
        <v/>
      </c>
      <c r="AD48" s="40">
        <f>AC48+IF(AC48&lt;=(Parameter!$C$30*Parameter!$C$57*F48),0,MIN(Parameter!$C$29*AC48,Parameter!$C$31*(AC48-(Parameter!$C$30*Parameter!$C$57*F48))))+Eingaben!$C$16*AC48</f>
        <v/>
      </c>
      <c r="AE48" s="40">
        <f>MAX(0,(AA48+IF(Eingaben!$C$14=3,Eingaben!$C$15,0))/Parameter!$C$57/F48)</f>
        <v/>
      </c>
      <c r="AF48" s="40">
        <f>Parameter!$C$57*F48*(IF(AE48&lt;=Parameter!$C$18,0,IF(AE48&lt;=Parameter!$C$19,(Parameter!$C$22*(AE48-Parameter!$C$18)/10000+Parameter!$C$23)*(AE48-Parameter!$C$18)/10000,IF(AE48&lt;=Parameter!$C$20,(Parameter!$C$24*(AE48-Parameter!$C$19)/10000+Parameter!$C$25)*(AE48-Parameter!$C$19)/10000+Parameter!$C$26,IF(AE48&lt;=Parameter!$C$21,0.42*AE48-Parameter!$C$27,0.45*AE48-Parameter!$C$28)))))</f>
        <v/>
      </c>
      <c r="AG48" s="40">
        <f>AF48+IF(AF48&lt;=(Parameter!$C$30*Parameter!$C$57*F48),0,MIN(Parameter!$C$29*AF48,Parameter!$C$31*(AF48-(Parameter!$C$30*Parameter!$C$57*F48))))+Eingaben!$C$16*AF48</f>
        <v/>
      </c>
      <c r="AH48" s="40">
        <f>AD48-AG48</f>
        <v/>
      </c>
      <c r="AI48" s="40">
        <f>MAX(0,K48-V48-AH48)</f>
        <v/>
      </c>
      <c r="AJ48" s="40">
        <f>MIN(AI48,Parameter!$C$49)</f>
        <v/>
      </c>
      <c r="AK48" s="40">
        <f>Parameter!$C$44*MIN(AJ48,Parameter!$C$45)+Parameter!$C$46*MAX(0,MIN(AJ48,Parameter!$C$47)-Parameter!$C$45)</f>
        <v/>
      </c>
      <c r="AL48" s="40">
        <f>MIN(AJ48,Parameter!$C$48)*Eingaben!$C$18*IF(40&lt;Eingaben!$C$19,1,0)</f>
        <v/>
      </c>
      <c r="AM48" s="40">
        <f>MIN(AK48+AL48,MAX(0,Parameter!$C$49-AJ48))</f>
        <v/>
      </c>
      <c r="AN48" s="40">
        <f>MIN(MIN(AJ48,Parameter!$C$47)+AM48,Parameter!$C$50)</f>
        <v/>
      </c>
      <c r="AO48" s="40">
        <f>MAX(0,Z48-AN48)</f>
        <v/>
      </c>
      <c r="AP48" s="40">
        <f>MAX(0,(AO48+IF(Eingaben!$C$14=3,Eingaben!$C$15,0))/Parameter!$C$57/F48)</f>
        <v/>
      </c>
      <c r="AQ48" s="40">
        <f>Parameter!$C$57*F48*(IF(AP48&lt;=Parameter!$C$18,0,IF(AP48&lt;=Parameter!$C$19,(Parameter!$C$22*(AP48-Parameter!$C$18)/10000+Parameter!$C$23)*(AP48-Parameter!$C$18)/10000,IF(AP48&lt;=Parameter!$C$20,(Parameter!$C$24*(AP48-Parameter!$C$19)/10000+Parameter!$C$25)*(AP48-Parameter!$C$19)/10000+Parameter!$C$26,IF(AP48&lt;=Parameter!$C$21,0.42*AP48-Parameter!$C$27,0.45*AP48-Parameter!$C$28)))))</f>
        <v/>
      </c>
      <c r="AR48" s="40">
        <f>AQ48+IF(AQ48&lt;=(Parameter!$C$30*Parameter!$C$57*F48),0,MIN(Parameter!$C$29*AQ48,Parameter!$C$31*(AQ48-(Parameter!$C$30*Parameter!$C$57*F48))))+Eingaben!$C$16*AQ48</f>
        <v/>
      </c>
      <c r="AS48" s="40">
        <f>AD48-AR48</f>
        <v/>
      </c>
      <c r="AT48" s="40">
        <f>MAX(0,AS48-AM48)</f>
        <v/>
      </c>
      <c r="AU48" s="40">
        <f>MIN(AJ48,Parameter!$C$47)+AM48</f>
        <v/>
      </c>
      <c r="AV48" s="40">
        <f>MAX(0,AJ48-Parameter!$C$47)+AT47</f>
        <v/>
      </c>
      <c r="AW48" s="40">
        <f>MAX(0,AI48-Parameter!$C$49)</f>
        <v/>
      </c>
      <c r="AX48" s="40">
        <f>AI48</f>
        <v/>
      </c>
      <c r="AY48" s="40">
        <f>IF(D48=0,AY47,AY47*(1+Parameter!$C$60)+R48*(1+Parameter!$C$60)^0.5)</f>
        <v/>
      </c>
      <c r="AZ48" s="40">
        <f>IF(D48=0,AZ47,AZ47*(1+Parameter!$C$60)+S48*(1+Parameter!$C$60)^0.5)</f>
        <v/>
      </c>
      <c r="BA48" s="40">
        <f>IF(D48=0,BA47,BA47*(1+Parameter!$C$61)+AU48*(1+Parameter!$C$61)^0.5)</f>
        <v/>
      </c>
      <c r="BB48" s="40">
        <f>IF(D48=0,BB47,BB47*(1+Parameter!$C$61)+AV48*(1+Parameter!$C$61)^0.5)</f>
        <v/>
      </c>
      <c r="BC48" s="40">
        <f>IF(D48=0,BC47,BC47*(1+Parameter!$C$62)+AW48*(1+Parameter!$C$62)^0.5-BF48)</f>
        <v/>
      </c>
      <c r="BD48" s="40">
        <f>IF(D48=0,BD47,BD47+AW48+BE48)</f>
        <v/>
      </c>
      <c r="BE48" s="40">
        <f>MAX(0,MIN(BC47*(1+Parameter!$C$62)+AW48*(1+Parameter!$C$62)^0.5-BC47-AW48,BC47*Parameter!$C$39*Parameter!$C$40))</f>
        <v/>
      </c>
      <c r="BF48" s="40">
        <f>MAX(0,BE48*(1-Parameter!$C$37)-Parameter!$C$67)*Parameter!$C$36</f>
        <v/>
      </c>
      <c r="BG48" s="40">
        <f>IF(D48=0,BG47,BG47*(1+Parameter!$C$62)+AX48*(1+Parameter!$C$62)^0.5-BJ48)</f>
        <v/>
      </c>
      <c r="BH48" s="40">
        <f>IF(D48=0,BH47,BH47+AX48+BI48)</f>
        <v/>
      </c>
      <c r="BI48" s="40">
        <f>MAX(0,MIN(BG47*(1+Parameter!$C$62)+AX48*(1+Parameter!$C$62)^0.5-BG47-AX48,BG47*Parameter!$C$39*Parameter!$C$40))</f>
        <v/>
      </c>
      <c r="BJ48" s="40">
        <f>MAX(0,BI48*(1-Parameter!$C$37)-Parameter!$C$67)*Parameter!$C$36</f>
        <v/>
      </c>
      <c r="BK48" s="38">
        <f>T48/(Parameter!$C$8*E48)</f>
        <v/>
      </c>
      <c r="BL48" s="38">
        <f>BL47+BK48</f>
        <v/>
      </c>
    </row>
    <row r="49">
      <c r="A49" s="32">
        <f>2026+41</f>
        <v/>
      </c>
      <c r="B49" s="32">
        <f>Eingaben!$C$5+41</f>
        <v/>
      </c>
      <c r="C49" s="32">
        <f>IF(AND(B49&lt;Eingaben!$C$8,B49&lt;Eingaben!$C$6),1,0)</f>
        <v/>
      </c>
      <c r="D49" s="32">
        <f>IF(B49&lt;Eingaben!$C$6,1,0)</f>
        <v/>
      </c>
      <c r="E49" s="41">
        <f>(1+Eingaben!$C$13)^41</f>
        <v/>
      </c>
      <c r="F49" s="41">
        <f>(1+Eingaben!$C$17)^41</f>
        <v/>
      </c>
      <c r="G49" s="42">
        <f>IF(B49&gt;=Eingaben!$C$9,Eingaben!$C$10,1)</f>
        <v/>
      </c>
      <c r="H49" s="43">
        <f>Eingaben!$C$12*E49*G49*C49</f>
        <v/>
      </c>
      <c r="I49" s="43">
        <f>Parameter!$C$4*E49</f>
        <v/>
      </c>
      <c r="J49" s="43">
        <f>Parameter!$C$5*E49</f>
        <v/>
      </c>
      <c r="K49" s="43">
        <f>MIN(H49,12*(IF(Eingaben!$C$22=2,Umrechnung!$C$54,Eingaben!$C$23))*IF(Eingaben!$C$25=1,E49,1))*C49</f>
        <v/>
      </c>
      <c r="L49" s="43">
        <f>MIN(K49,MAX(0,Parameter!$C$42*I49-P49))</f>
        <v/>
      </c>
      <c r="M49" s="43">
        <f>MIN(K49,MAX(0,Parameter!$C$43*I49-N49))</f>
        <v/>
      </c>
      <c r="N49" s="43">
        <f>C49*IF(K49/12+0.000000001&lt;Eingaben!$C$29,0,12*Eingaben!$C$27*IF(Eingaben!$C$28=1,E49,1))</f>
        <v/>
      </c>
      <c r="O49" s="43">
        <f>IF(Eingaben!$C$30=2,MIN(Eingaben!$C$26*K49,W49),Eingaben!$C$26*IF(Eingaben!$C$30=1,M49,K49))</f>
        <v/>
      </c>
      <c r="P49" s="43">
        <f>O49+N49</f>
        <v/>
      </c>
      <c r="Q49" s="43">
        <f>K49+P49</f>
        <v/>
      </c>
      <c r="R49" s="43">
        <f>MIN(Q49,Parameter!$C$42*I49)</f>
        <v/>
      </c>
      <c r="S49" s="43">
        <f>Q49-R49</f>
        <v/>
      </c>
      <c r="T49" s="43">
        <f>MIN(H49,I49)-MIN(H49-M49,I49)</f>
        <v/>
      </c>
      <c r="U49" s="43">
        <f>MIN(H49,J49)-MIN(H49-M49,J49)</f>
        <v/>
      </c>
      <c r="V49" s="43">
        <f>T49*(Parameter!$C$10+Parameter!$C$11)+U49*((Parameter!$C$12+Parameter!$C$13)/2+Parameter!$C$58)</f>
        <v/>
      </c>
      <c r="W49" s="43">
        <f>T49*(Parameter!$C$10+Parameter!$C$11)+U49*((Parameter!$C$12+Parameter!$C$13)/2+Parameter!$C$15)</f>
        <v/>
      </c>
      <c r="X49" s="43">
        <f>MIN(H49,I49)*Parameter!$C$10+MIN(H49,J49)*(0.96*(Parameter!$C$12+Parameter!$C$13)/2+Parameter!$C$58)</f>
        <v/>
      </c>
      <c r="Y49" s="43">
        <f>MIN(H49-M49,I49)*Parameter!$C$10+MIN(H49-M49,J49)*(0.96*(Parameter!$C$12+Parameter!$C$13)/2+Parameter!$C$58)</f>
        <v/>
      </c>
      <c r="Z49" s="43">
        <f>MAX(0,H49-Parameter!$C$32*F49-Parameter!$C$33-X49)</f>
        <v/>
      </c>
      <c r="AA49" s="43">
        <f>MAX(0,H49-L49-Parameter!$C$32*F49-Parameter!$C$33-Y49)</f>
        <v/>
      </c>
      <c r="AB49" s="43">
        <f>MAX(0,(Z49+IF(Eingaben!$C$14=3,Eingaben!$C$15,0))/Parameter!$C$57/F49)</f>
        <v/>
      </c>
      <c r="AC49" s="43">
        <f>Parameter!$C$57*F49*(IF(AB49&lt;=Parameter!$C$18,0,IF(AB49&lt;=Parameter!$C$19,(Parameter!$C$22*(AB49-Parameter!$C$18)/10000+Parameter!$C$23)*(AB49-Parameter!$C$18)/10000,IF(AB49&lt;=Parameter!$C$20,(Parameter!$C$24*(AB49-Parameter!$C$19)/10000+Parameter!$C$25)*(AB49-Parameter!$C$19)/10000+Parameter!$C$26,IF(AB49&lt;=Parameter!$C$21,0.42*AB49-Parameter!$C$27,0.45*AB49-Parameter!$C$28)))))</f>
        <v/>
      </c>
      <c r="AD49" s="43">
        <f>AC49+IF(AC49&lt;=(Parameter!$C$30*Parameter!$C$57*F49),0,MIN(Parameter!$C$29*AC49,Parameter!$C$31*(AC49-(Parameter!$C$30*Parameter!$C$57*F49))))+Eingaben!$C$16*AC49</f>
        <v/>
      </c>
      <c r="AE49" s="43">
        <f>MAX(0,(AA49+IF(Eingaben!$C$14=3,Eingaben!$C$15,0))/Parameter!$C$57/F49)</f>
        <v/>
      </c>
      <c r="AF49" s="43">
        <f>Parameter!$C$57*F49*(IF(AE49&lt;=Parameter!$C$18,0,IF(AE49&lt;=Parameter!$C$19,(Parameter!$C$22*(AE49-Parameter!$C$18)/10000+Parameter!$C$23)*(AE49-Parameter!$C$18)/10000,IF(AE49&lt;=Parameter!$C$20,(Parameter!$C$24*(AE49-Parameter!$C$19)/10000+Parameter!$C$25)*(AE49-Parameter!$C$19)/10000+Parameter!$C$26,IF(AE49&lt;=Parameter!$C$21,0.42*AE49-Parameter!$C$27,0.45*AE49-Parameter!$C$28)))))</f>
        <v/>
      </c>
      <c r="AG49" s="43">
        <f>AF49+IF(AF49&lt;=(Parameter!$C$30*Parameter!$C$57*F49),0,MIN(Parameter!$C$29*AF49,Parameter!$C$31*(AF49-(Parameter!$C$30*Parameter!$C$57*F49))))+Eingaben!$C$16*AF49</f>
        <v/>
      </c>
      <c r="AH49" s="43">
        <f>AD49-AG49</f>
        <v/>
      </c>
      <c r="AI49" s="43">
        <f>MAX(0,K49-V49-AH49)</f>
        <v/>
      </c>
      <c r="AJ49" s="43">
        <f>MIN(AI49,Parameter!$C$49)</f>
        <v/>
      </c>
      <c r="AK49" s="43">
        <f>Parameter!$C$44*MIN(AJ49,Parameter!$C$45)+Parameter!$C$46*MAX(0,MIN(AJ49,Parameter!$C$47)-Parameter!$C$45)</f>
        <v/>
      </c>
      <c r="AL49" s="43">
        <f>MIN(AJ49,Parameter!$C$48)*Eingaben!$C$18*IF(41&lt;Eingaben!$C$19,1,0)</f>
        <v/>
      </c>
      <c r="AM49" s="43">
        <f>MIN(AK49+AL49,MAX(0,Parameter!$C$49-AJ49))</f>
        <v/>
      </c>
      <c r="AN49" s="43">
        <f>MIN(MIN(AJ49,Parameter!$C$47)+AM49,Parameter!$C$50)</f>
        <v/>
      </c>
      <c r="AO49" s="43">
        <f>MAX(0,Z49-AN49)</f>
        <v/>
      </c>
      <c r="AP49" s="43">
        <f>MAX(0,(AO49+IF(Eingaben!$C$14=3,Eingaben!$C$15,0))/Parameter!$C$57/F49)</f>
        <v/>
      </c>
      <c r="AQ49" s="43">
        <f>Parameter!$C$57*F49*(IF(AP49&lt;=Parameter!$C$18,0,IF(AP49&lt;=Parameter!$C$19,(Parameter!$C$22*(AP49-Parameter!$C$18)/10000+Parameter!$C$23)*(AP49-Parameter!$C$18)/10000,IF(AP49&lt;=Parameter!$C$20,(Parameter!$C$24*(AP49-Parameter!$C$19)/10000+Parameter!$C$25)*(AP49-Parameter!$C$19)/10000+Parameter!$C$26,IF(AP49&lt;=Parameter!$C$21,0.42*AP49-Parameter!$C$27,0.45*AP49-Parameter!$C$28)))))</f>
        <v/>
      </c>
      <c r="AR49" s="43">
        <f>AQ49+IF(AQ49&lt;=(Parameter!$C$30*Parameter!$C$57*F49),0,MIN(Parameter!$C$29*AQ49,Parameter!$C$31*(AQ49-(Parameter!$C$30*Parameter!$C$57*F49))))+Eingaben!$C$16*AQ49</f>
        <v/>
      </c>
      <c r="AS49" s="43">
        <f>AD49-AR49</f>
        <v/>
      </c>
      <c r="AT49" s="43">
        <f>MAX(0,AS49-AM49)</f>
        <v/>
      </c>
      <c r="AU49" s="43">
        <f>MIN(AJ49,Parameter!$C$47)+AM49</f>
        <v/>
      </c>
      <c r="AV49" s="43">
        <f>MAX(0,AJ49-Parameter!$C$47)+AT48</f>
        <v/>
      </c>
      <c r="AW49" s="43">
        <f>MAX(0,AI49-Parameter!$C$49)</f>
        <v/>
      </c>
      <c r="AX49" s="43">
        <f>AI49</f>
        <v/>
      </c>
      <c r="AY49" s="43">
        <f>IF(D49=0,AY48,AY48*(1+Parameter!$C$60)+R49*(1+Parameter!$C$60)^0.5)</f>
        <v/>
      </c>
      <c r="AZ49" s="43">
        <f>IF(D49=0,AZ48,AZ48*(1+Parameter!$C$60)+S49*(1+Parameter!$C$60)^0.5)</f>
        <v/>
      </c>
      <c r="BA49" s="43">
        <f>IF(D49=0,BA48,BA48*(1+Parameter!$C$61)+AU49*(1+Parameter!$C$61)^0.5)</f>
        <v/>
      </c>
      <c r="BB49" s="43">
        <f>IF(D49=0,BB48,BB48*(1+Parameter!$C$61)+AV49*(1+Parameter!$C$61)^0.5)</f>
        <v/>
      </c>
      <c r="BC49" s="43">
        <f>IF(D49=0,BC48,BC48*(1+Parameter!$C$62)+AW49*(1+Parameter!$C$62)^0.5-BF49)</f>
        <v/>
      </c>
      <c r="BD49" s="43">
        <f>IF(D49=0,BD48,BD48+AW49+BE49)</f>
        <v/>
      </c>
      <c r="BE49" s="43">
        <f>MAX(0,MIN(BC48*(1+Parameter!$C$62)+AW49*(1+Parameter!$C$62)^0.5-BC48-AW49,BC48*Parameter!$C$39*Parameter!$C$40))</f>
        <v/>
      </c>
      <c r="BF49" s="43">
        <f>MAX(0,BE49*(1-Parameter!$C$37)-Parameter!$C$67)*Parameter!$C$36</f>
        <v/>
      </c>
      <c r="BG49" s="43">
        <f>IF(D49=0,BG48,BG48*(1+Parameter!$C$62)+AX49*(1+Parameter!$C$62)^0.5-BJ49)</f>
        <v/>
      </c>
      <c r="BH49" s="43">
        <f>IF(D49=0,BH48,BH48+AX49+BI49)</f>
        <v/>
      </c>
      <c r="BI49" s="43">
        <f>MAX(0,MIN(BG48*(1+Parameter!$C$62)+AX49*(1+Parameter!$C$62)^0.5-BG48-AX49,BG48*Parameter!$C$39*Parameter!$C$40))</f>
        <v/>
      </c>
      <c r="BJ49" s="43">
        <f>MAX(0,BI49*(1-Parameter!$C$37)-Parameter!$C$67)*Parameter!$C$36</f>
        <v/>
      </c>
      <c r="BK49" s="41">
        <f>T49/(Parameter!$C$8*E49)</f>
        <v/>
      </c>
      <c r="BL49" s="41">
        <f>BL48+BK49</f>
        <v/>
      </c>
    </row>
    <row r="50">
      <c r="A50" s="30">
        <f>2026+42</f>
        <v/>
      </c>
      <c r="B50" s="30">
        <f>Eingaben!$C$5+42</f>
        <v/>
      </c>
      <c r="C50" s="30">
        <f>IF(AND(B50&lt;Eingaben!$C$8,B50&lt;Eingaben!$C$6),1,0)</f>
        <v/>
      </c>
      <c r="D50" s="30">
        <f>IF(B50&lt;Eingaben!$C$6,1,0)</f>
        <v/>
      </c>
      <c r="E50" s="38">
        <f>(1+Eingaben!$C$13)^42</f>
        <v/>
      </c>
      <c r="F50" s="38">
        <f>(1+Eingaben!$C$17)^42</f>
        <v/>
      </c>
      <c r="G50" s="39">
        <f>IF(B50&gt;=Eingaben!$C$9,Eingaben!$C$10,1)</f>
        <v/>
      </c>
      <c r="H50" s="40">
        <f>Eingaben!$C$12*E50*G50*C50</f>
        <v/>
      </c>
      <c r="I50" s="40">
        <f>Parameter!$C$4*E50</f>
        <v/>
      </c>
      <c r="J50" s="40">
        <f>Parameter!$C$5*E50</f>
        <v/>
      </c>
      <c r="K50" s="40">
        <f>MIN(H50,12*(IF(Eingaben!$C$22=2,Umrechnung!$C$54,Eingaben!$C$23))*IF(Eingaben!$C$25=1,E50,1))*C50</f>
        <v/>
      </c>
      <c r="L50" s="40">
        <f>MIN(K50,MAX(0,Parameter!$C$42*I50-P50))</f>
        <v/>
      </c>
      <c r="M50" s="40">
        <f>MIN(K50,MAX(0,Parameter!$C$43*I50-N50))</f>
        <v/>
      </c>
      <c r="N50" s="40">
        <f>C50*IF(K50/12+0.000000001&lt;Eingaben!$C$29,0,12*Eingaben!$C$27*IF(Eingaben!$C$28=1,E50,1))</f>
        <v/>
      </c>
      <c r="O50" s="40">
        <f>IF(Eingaben!$C$30=2,MIN(Eingaben!$C$26*K50,W50),Eingaben!$C$26*IF(Eingaben!$C$30=1,M50,K50))</f>
        <v/>
      </c>
      <c r="P50" s="40">
        <f>O50+N50</f>
        <v/>
      </c>
      <c r="Q50" s="40">
        <f>K50+P50</f>
        <v/>
      </c>
      <c r="R50" s="40">
        <f>MIN(Q50,Parameter!$C$42*I50)</f>
        <v/>
      </c>
      <c r="S50" s="40">
        <f>Q50-R50</f>
        <v/>
      </c>
      <c r="T50" s="40">
        <f>MIN(H50,I50)-MIN(H50-M50,I50)</f>
        <v/>
      </c>
      <c r="U50" s="40">
        <f>MIN(H50,J50)-MIN(H50-M50,J50)</f>
        <v/>
      </c>
      <c r="V50" s="40">
        <f>T50*(Parameter!$C$10+Parameter!$C$11)+U50*((Parameter!$C$12+Parameter!$C$13)/2+Parameter!$C$58)</f>
        <v/>
      </c>
      <c r="W50" s="40">
        <f>T50*(Parameter!$C$10+Parameter!$C$11)+U50*((Parameter!$C$12+Parameter!$C$13)/2+Parameter!$C$15)</f>
        <v/>
      </c>
      <c r="X50" s="40">
        <f>MIN(H50,I50)*Parameter!$C$10+MIN(H50,J50)*(0.96*(Parameter!$C$12+Parameter!$C$13)/2+Parameter!$C$58)</f>
        <v/>
      </c>
      <c r="Y50" s="40">
        <f>MIN(H50-M50,I50)*Parameter!$C$10+MIN(H50-M50,J50)*(0.96*(Parameter!$C$12+Parameter!$C$13)/2+Parameter!$C$58)</f>
        <v/>
      </c>
      <c r="Z50" s="40">
        <f>MAX(0,H50-Parameter!$C$32*F50-Parameter!$C$33-X50)</f>
        <v/>
      </c>
      <c r="AA50" s="40">
        <f>MAX(0,H50-L50-Parameter!$C$32*F50-Parameter!$C$33-Y50)</f>
        <v/>
      </c>
      <c r="AB50" s="40">
        <f>MAX(0,(Z50+IF(Eingaben!$C$14=3,Eingaben!$C$15,0))/Parameter!$C$57/F50)</f>
        <v/>
      </c>
      <c r="AC50" s="40">
        <f>Parameter!$C$57*F50*(IF(AB50&lt;=Parameter!$C$18,0,IF(AB50&lt;=Parameter!$C$19,(Parameter!$C$22*(AB50-Parameter!$C$18)/10000+Parameter!$C$23)*(AB50-Parameter!$C$18)/10000,IF(AB50&lt;=Parameter!$C$20,(Parameter!$C$24*(AB50-Parameter!$C$19)/10000+Parameter!$C$25)*(AB50-Parameter!$C$19)/10000+Parameter!$C$26,IF(AB50&lt;=Parameter!$C$21,0.42*AB50-Parameter!$C$27,0.45*AB50-Parameter!$C$28)))))</f>
        <v/>
      </c>
      <c r="AD50" s="40">
        <f>AC50+IF(AC50&lt;=(Parameter!$C$30*Parameter!$C$57*F50),0,MIN(Parameter!$C$29*AC50,Parameter!$C$31*(AC50-(Parameter!$C$30*Parameter!$C$57*F50))))+Eingaben!$C$16*AC50</f>
        <v/>
      </c>
      <c r="AE50" s="40">
        <f>MAX(0,(AA50+IF(Eingaben!$C$14=3,Eingaben!$C$15,0))/Parameter!$C$57/F50)</f>
        <v/>
      </c>
      <c r="AF50" s="40">
        <f>Parameter!$C$57*F50*(IF(AE50&lt;=Parameter!$C$18,0,IF(AE50&lt;=Parameter!$C$19,(Parameter!$C$22*(AE50-Parameter!$C$18)/10000+Parameter!$C$23)*(AE50-Parameter!$C$18)/10000,IF(AE50&lt;=Parameter!$C$20,(Parameter!$C$24*(AE50-Parameter!$C$19)/10000+Parameter!$C$25)*(AE50-Parameter!$C$19)/10000+Parameter!$C$26,IF(AE50&lt;=Parameter!$C$21,0.42*AE50-Parameter!$C$27,0.45*AE50-Parameter!$C$28)))))</f>
        <v/>
      </c>
      <c r="AG50" s="40">
        <f>AF50+IF(AF50&lt;=(Parameter!$C$30*Parameter!$C$57*F50),0,MIN(Parameter!$C$29*AF50,Parameter!$C$31*(AF50-(Parameter!$C$30*Parameter!$C$57*F50))))+Eingaben!$C$16*AF50</f>
        <v/>
      </c>
      <c r="AH50" s="40">
        <f>AD50-AG50</f>
        <v/>
      </c>
      <c r="AI50" s="40">
        <f>MAX(0,K50-V50-AH50)</f>
        <v/>
      </c>
      <c r="AJ50" s="40">
        <f>MIN(AI50,Parameter!$C$49)</f>
        <v/>
      </c>
      <c r="AK50" s="40">
        <f>Parameter!$C$44*MIN(AJ50,Parameter!$C$45)+Parameter!$C$46*MAX(0,MIN(AJ50,Parameter!$C$47)-Parameter!$C$45)</f>
        <v/>
      </c>
      <c r="AL50" s="40">
        <f>MIN(AJ50,Parameter!$C$48)*Eingaben!$C$18*IF(42&lt;Eingaben!$C$19,1,0)</f>
        <v/>
      </c>
      <c r="AM50" s="40">
        <f>MIN(AK50+AL50,MAX(0,Parameter!$C$49-AJ50))</f>
        <v/>
      </c>
      <c r="AN50" s="40">
        <f>MIN(MIN(AJ50,Parameter!$C$47)+AM50,Parameter!$C$50)</f>
        <v/>
      </c>
      <c r="AO50" s="40">
        <f>MAX(0,Z50-AN50)</f>
        <v/>
      </c>
      <c r="AP50" s="40">
        <f>MAX(0,(AO50+IF(Eingaben!$C$14=3,Eingaben!$C$15,0))/Parameter!$C$57/F50)</f>
        <v/>
      </c>
      <c r="AQ50" s="40">
        <f>Parameter!$C$57*F50*(IF(AP50&lt;=Parameter!$C$18,0,IF(AP50&lt;=Parameter!$C$19,(Parameter!$C$22*(AP50-Parameter!$C$18)/10000+Parameter!$C$23)*(AP50-Parameter!$C$18)/10000,IF(AP50&lt;=Parameter!$C$20,(Parameter!$C$24*(AP50-Parameter!$C$19)/10000+Parameter!$C$25)*(AP50-Parameter!$C$19)/10000+Parameter!$C$26,IF(AP50&lt;=Parameter!$C$21,0.42*AP50-Parameter!$C$27,0.45*AP50-Parameter!$C$28)))))</f>
        <v/>
      </c>
      <c r="AR50" s="40">
        <f>AQ50+IF(AQ50&lt;=(Parameter!$C$30*Parameter!$C$57*F50),0,MIN(Parameter!$C$29*AQ50,Parameter!$C$31*(AQ50-(Parameter!$C$30*Parameter!$C$57*F50))))+Eingaben!$C$16*AQ50</f>
        <v/>
      </c>
      <c r="AS50" s="40">
        <f>AD50-AR50</f>
        <v/>
      </c>
      <c r="AT50" s="40">
        <f>MAX(0,AS50-AM50)</f>
        <v/>
      </c>
      <c r="AU50" s="40">
        <f>MIN(AJ50,Parameter!$C$47)+AM50</f>
        <v/>
      </c>
      <c r="AV50" s="40">
        <f>MAX(0,AJ50-Parameter!$C$47)+AT49</f>
        <v/>
      </c>
      <c r="AW50" s="40">
        <f>MAX(0,AI50-Parameter!$C$49)</f>
        <v/>
      </c>
      <c r="AX50" s="40">
        <f>AI50</f>
        <v/>
      </c>
      <c r="AY50" s="40">
        <f>IF(D50=0,AY49,AY49*(1+Parameter!$C$60)+R50*(1+Parameter!$C$60)^0.5)</f>
        <v/>
      </c>
      <c r="AZ50" s="40">
        <f>IF(D50=0,AZ49,AZ49*(1+Parameter!$C$60)+S50*(1+Parameter!$C$60)^0.5)</f>
        <v/>
      </c>
      <c r="BA50" s="40">
        <f>IF(D50=0,BA49,BA49*(1+Parameter!$C$61)+AU50*(1+Parameter!$C$61)^0.5)</f>
        <v/>
      </c>
      <c r="BB50" s="40">
        <f>IF(D50=0,BB49,BB49*(1+Parameter!$C$61)+AV50*(1+Parameter!$C$61)^0.5)</f>
        <v/>
      </c>
      <c r="BC50" s="40">
        <f>IF(D50=0,BC49,BC49*(1+Parameter!$C$62)+AW50*(1+Parameter!$C$62)^0.5-BF50)</f>
        <v/>
      </c>
      <c r="BD50" s="40">
        <f>IF(D50=0,BD49,BD49+AW50+BE50)</f>
        <v/>
      </c>
      <c r="BE50" s="40">
        <f>MAX(0,MIN(BC49*(1+Parameter!$C$62)+AW50*(1+Parameter!$C$62)^0.5-BC49-AW50,BC49*Parameter!$C$39*Parameter!$C$40))</f>
        <v/>
      </c>
      <c r="BF50" s="40">
        <f>MAX(0,BE50*(1-Parameter!$C$37)-Parameter!$C$67)*Parameter!$C$36</f>
        <v/>
      </c>
      <c r="BG50" s="40">
        <f>IF(D50=0,BG49,BG49*(1+Parameter!$C$62)+AX50*(1+Parameter!$C$62)^0.5-BJ50)</f>
        <v/>
      </c>
      <c r="BH50" s="40">
        <f>IF(D50=0,BH49,BH49+AX50+BI50)</f>
        <v/>
      </c>
      <c r="BI50" s="40">
        <f>MAX(0,MIN(BG49*(1+Parameter!$C$62)+AX50*(1+Parameter!$C$62)^0.5-BG49-AX50,BG49*Parameter!$C$39*Parameter!$C$40))</f>
        <v/>
      </c>
      <c r="BJ50" s="40">
        <f>MAX(0,BI50*(1-Parameter!$C$37)-Parameter!$C$67)*Parameter!$C$36</f>
        <v/>
      </c>
      <c r="BK50" s="38">
        <f>T50/(Parameter!$C$8*E50)</f>
        <v/>
      </c>
      <c r="BL50" s="38">
        <f>BL49+BK50</f>
        <v/>
      </c>
    </row>
    <row r="51">
      <c r="A51" s="32">
        <f>2026+43</f>
        <v/>
      </c>
      <c r="B51" s="32">
        <f>Eingaben!$C$5+43</f>
        <v/>
      </c>
      <c r="C51" s="32">
        <f>IF(AND(B51&lt;Eingaben!$C$8,B51&lt;Eingaben!$C$6),1,0)</f>
        <v/>
      </c>
      <c r="D51" s="32">
        <f>IF(B51&lt;Eingaben!$C$6,1,0)</f>
        <v/>
      </c>
      <c r="E51" s="41">
        <f>(1+Eingaben!$C$13)^43</f>
        <v/>
      </c>
      <c r="F51" s="41">
        <f>(1+Eingaben!$C$17)^43</f>
        <v/>
      </c>
      <c r="G51" s="42">
        <f>IF(B51&gt;=Eingaben!$C$9,Eingaben!$C$10,1)</f>
        <v/>
      </c>
      <c r="H51" s="43">
        <f>Eingaben!$C$12*E51*G51*C51</f>
        <v/>
      </c>
      <c r="I51" s="43">
        <f>Parameter!$C$4*E51</f>
        <v/>
      </c>
      <c r="J51" s="43">
        <f>Parameter!$C$5*E51</f>
        <v/>
      </c>
      <c r="K51" s="43">
        <f>MIN(H51,12*(IF(Eingaben!$C$22=2,Umrechnung!$C$54,Eingaben!$C$23))*IF(Eingaben!$C$25=1,E51,1))*C51</f>
        <v/>
      </c>
      <c r="L51" s="43">
        <f>MIN(K51,MAX(0,Parameter!$C$42*I51-P51))</f>
        <v/>
      </c>
      <c r="M51" s="43">
        <f>MIN(K51,MAX(0,Parameter!$C$43*I51-N51))</f>
        <v/>
      </c>
      <c r="N51" s="43">
        <f>C51*IF(K51/12+0.000000001&lt;Eingaben!$C$29,0,12*Eingaben!$C$27*IF(Eingaben!$C$28=1,E51,1))</f>
        <v/>
      </c>
      <c r="O51" s="43">
        <f>IF(Eingaben!$C$30=2,MIN(Eingaben!$C$26*K51,W51),Eingaben!$C$26*IF(Eingaben!$C$30=1,M51,K51))</f>
        <v/>
      </c>
      <c r="P51" s="43">
        <f>O51+N51</f>
        <v/>
      </c>
      <c r="Q51" s="43">
        <f>K51+P51</f>
        <v/>
      </c>
      <c r="R51" s="43">
        <f>MIN(Q51,Parameter!$C$42*I51)</f>
        <v/>
      </c>
      <c r="S51" s="43">
        <f>Q51-R51</f>
        <v/>
      </c>
      <c r="T51" s="43">
        <f>MIN(H51,I51)-MIN(H51-M51,I51)</f>
        <v/>
      </c>
      <c r="U51" s="43">
        <f>MIN(H51,J51)-MIN(H51-M51,J51)</f>
        <v/>
      </c>
      <c r="V51" s="43">
        <f>T51*(Parameter!$C$10+Parameter!$C$11)+U51*((Parameter!$C$12+Parameter!$C$13)/2+Parameter!$C$58)</f>
        <v/>
      </c>
      <c r="W51" s="43">
        <f>T51*(Parameter!$C$10+Parameter!$C$11)+U51*((Parameter!$C$12+Parameter!$C$13)/2+Parameter!$C$15)</f>
        <v/>
      </c>
      <c r="X51" s="43">
        <f>MIN(H51,I51)*Parameter!$C$10+MIN(H51,J51)*(0.96*(Parameter!$C$12+Parameter!$C$13)/2+Parameter!$C$58)</f>
        <v/>
      </c>
      <c r="Y51" s="43">
        <f>MIN(H51-M51,I51)*Parameter!$C$10+MIN(H51-M51,J51)*(0.96*(Parameter!$C$12+Parameter!$C$13)/2+Parameter!$C$58)</f>
        <v/>
      </c>
      <c r="Z51" s="43">
        <f>MAX(0,H51-Parameter!$C$32*F51-Parameter!$C$33-X51)</f>
        <v/>
      </c>
      <c r="AA51" s="43">
        <f>MAX(0,H51-L51-Parameter!$C$32*F51-Parameter!$C$33-Y51)</f>
        <v/>
      </c>
      <c r="AB51" s="43">
        <f>MAX(0,(Z51+IF(Eingaben!$C$14=3,Eingaben!$C$15,0))/Parameter!$C$57/F51)</f>
        <v/>
      </c>
      <c r="AC51" s="43">
        <f>Parameter!$C$57*F51*(IF(AB51&lt;=Parameter!$C$18,0,IF(AB51&lt;=Parameter!$C$19,(Parameter!$C$22*(AB51-Parameter!$C$18)/10000+Parameter!$C$23)*(AB51-Parameter!$C$18)/10000,IF(AB51&lt;=Parameter!$C$20,(Parameter!$C$24*(AB51-Parameter!$C$19)/10000+Parameter!$C$25)*(AB51-Parameter!$C$19)/10000+Parameter!$C$26,IF(AB51&lt;=Parameter!$C$21,0.42*AB51-Parameter!$C$27,0.45*AB51-Parameter!$C$28)))))</f>
        <v/>
      </c>
      <c r="AD51" s="43">
        <f>AC51+IF(AC51&lt;=(Parameter!$C$30*Parameter!$C$57*F51),0,MIN(Parameter!$C$29*AC51,Parameter!$C$31*(AC51-(Parameter!$C$30*Parameter!$C$57*F51))))+Eingaben!$C$16*AC51</f>
        <v/>
      </c>
      <c r="AE51" s="43">
        <f>MAX(0,(AA51+IF(Eingaben!$C$14=3,Eingaben!$C$15,0))/Parameter!$C$57/F51)</f>
        <v/>
      </c>
      <c r="AF51" s="43">
        <f>Parameter!$C$57*F51*(IF(AE51&lt;=Parameter!$C$18,0,IF(AE51&lt;=Parameter!$C$19,(Parameter!$C$22*(AE51-Parameter!$C$18)/10000+Parameter!$C$23)*(AE51-Parameter!$C$18)/10000,IF(AE51&lt;=Parameter!$C$20,(Parameter!$C$24*(AE51-Parameter!$C$19)/10000+Parameter!$C$25)*(AE51-Parameter!$C$19)/10000+Parameter!$C$26,IF(AE51&lt;=Parameter!$C$21,0.42*AE51-Parameter!$C$27,0.45*AE51-Parameter!$C$28)))))</f>
        <v/>
      </c>
      <c r="AG51" s="43">
        <f>AF51+IF(AF51&lt;=(Parameter!$C$30*Parameter!$C$57*F51),0,MIN(Parameter!$C$29*AF51,Parameter!$C$31*(AF51-(Parameter!$C$30*Parameter!$C$57*F51))))+Eingaben!$C$16*AF51</f>
        <v/>
      </c>
      <c r="AH51" s="43">
        <f>AD51-AG51</f>
        <v/>
      </c>
      <c r="AI51" s="43">
        <f>MAX(0,K51-V51-AH51)</f>
        <v/>
      </c>
      <c r="AJ51" s="43">
        <f>MIN(AI51,Parameter!$C$49)</f>
        <v/>
      </c>
      <c r="AK51" s="43">
        <f>Parameter!$C$44*MIN(AJ51,Parameter!$C$45)+Parameter!$C$46*MAX(0,MIN(AJ51,Parameter!$C$47)-Parameter!$C$45)</f>
        <v/>
      </c>
      <c r="AL51" s="43">
        <f>MIN(AJ51,Parameter!$C$48)*Eingaben!$C$18*IF(43&lt;Eingaben!$C$19,1,0)</f>
        <v/>
      </c>
      <c r="AM51" s="43">
        <f>MIN(AK51+AL51,MAX(0,Parameter!$C$49-AJ51))</f>
        <v/>
      </c>
      <c r="AN51" s="43">
        <f>MIN(MIN(AJ51,Parameter!$C$47)+AM51,Parameter!$C$50)</f>
        <v/>
      </c>
      <c r="AO51" s="43">
        <f>MAX(0,Z51-AN51)</f>
        <v/>
      </c>
      <c r="AP51" s="43">
        <f>MAX(0,(AO51+IF(Eingaben!$C$14=3,Eingaben!$C$15,0))/Parameter!$C$57/F51)</f>
        <v/>
      </c>
      <c r="AQ51" s="43">
        <f>Parameter!$C$57*F51*(IF(AP51&lt;=Parameter!$C$18,0,IF(AP51&lt;=Parameter!$C$19,(Parameter!$C$22*(AP51-Parameter!$C$18)/10000+Parameter!$C$23)*(AP51-Parameter!$C$18)/10000,IF(AP51&lt;=Parameter!$C$20,(Parameter!$C$24*(AP51-Parameter!$C$19)/10000+Parameter!$C$25)*(AP51-Parameter!$C$19)/10000+Parameter!$C$26,IF(AP51&lt;=Parameter!$C$21,0.42*AP51-Parameter!$C$27,0.45*AP51-Parameter!$C$28)))))</f>
        <v/>
      </c>
      <c r="AR51" s="43">
        <f>AQ51+IF(AQ51&lt;=(Parameter!$C$30*Parameter!$C$57*F51),0,MIN(Parameter!$C$29*AQ51,Parameter!$C$31*(AQ51-(Parameter!$C$30*Parameter!$C$57*F51))))+Eingaben!$C$16*AQ51</f>
        <v/>
      </c>
      <c r="AS51" s="43">
        <f>AD51-AR51</f>
        <v/>
      </c>
      <c r="AT51" s="43">
        <f>MAX(0,AS51-AM51)</f>
        <v/>
      </c>
      <c r="AU51" s="43">
        <f>MIN(AJ51,Parameter!$C$47)+AM51</f>
        <v/>
      </c>
      <c r="AV51" s="43">
        <f>MAX(0,AJ51-Parameter!$C$47)+AT50</f>
        <v/>
      </c>
      <c r="AW51" s="43">
        <f>MAX(0,AI51-Parameter!$C$49)</f>
        <v/>
      </c>
      <c r="AX51" s="43">
        <f>AI51</f>
        <v/>
      </c>
      <c r="AY51" s="43">
        <f>IF(D51=0,AY50,AY50*(1+Parameter!$C$60)+R51*(1+Parameter!$C$60)^0.5)</f>
        <v/>
      </c>
      <c r="AZ51" s="43">
        <f>IF(D51=0,AZ50,AZ50*(1+Parameter!$C$60)+S51*(1+Parameter!$C$60)^0.5)</f>
        <v/>
      </c>
      <c r="BA51" s="43">
        <f>IF(D51=0,BA50,BA50*(1+Parameter!$C$61)+AU51*(1+Parameter!$C$61)^0.5)</f>
        <v/>
      </c>
      <c r="BB51" s="43">
        <f>IF(D51=0,BB50,BB50*(1+Parameter!$C$61)+AV51*(1+Parameter!$C$61)^0.5)</f>
        <v/>
      </c>
      <c r="BC51" s="43">
        <f>IF(D51=0,BC50,BC50*(1+Parameter!$C$62)+AW51*(1+Parameter!$C$62)^0.5-BF51)</f>
        <v/>
      </c>
      <c r="BD51" s="43">
        <f>IF(D51=0,BD50,BD50+AW51+BE51)</f>
        <v/>
      </c>
      <c r="BE51" s="43">
        <f>MAX(0,MIN(BC50*(1+Parameter!$C$62)+AW51*(1+Parameter!$C$62)^0.5-BC50-AW51,BC50*Parameter!$C$39*Parameter!$C$40))</f>
        <v/>
      </c>
      <c r="BF51" s="43">
        <f>MAX(0,BE51*(1-Parameter!$C$37)-Parameter!$C$67)*Parameter!$C$36</f>
        <v/>
      </c>
      <c r="BG51" s="43">
        <f>IF(D51=0,BG50,BG50*(1+Parameter!$C$62)+AX51*(1+Parameter!$C$62)^0.5-BJ51)</f>
        <v/>
      </c>
      <c r="BH51" s="43">
        <f>IF(D51=0,BH50,BH50+AX51+BI51)</f>
        <v/>
      </c>
      <c r="BI51" s="43">
        <f>MAX(0,MIN(BG50*(1+Parameter!$C$62)+AX51*(1+Parameter!$C$62)^0.5-BG50-AX51,BG50*Parameter!$C$39*Parameter!$C$40))</f>
        <v/>
      </c>
      <c r="BJ51" s="43">
        <f>MAX(0,BI51*(1-Parameter!$C$37)-Parameter!$C$67)*Parameter!$C$36</f>
        <v/>
      </c>
      <c r="BK51" s="41">
        <f>T51/(Parameter!$C$8*E51)</f>
        <v/>
      </c>
      <c r="BL51" s="41">
        <f>BL50+BK51</f>
        <v/>
      </c>
    </row>
    <row r="52">
      <c r="A52" s="30">
        <f>2026+44</f>
        <v/>
      </c>
      <c r="B52" s="30">
        <f>Eingaben!$C$5+44</f>
        <v/>
      </c>
      <c r="C52" s="30">
        <f>IF(AND(B52&lt;Eingaben!$C$8,B52&lt;Eingaben!$C$6),1,0)</f>
        <v/>
      </c>
      <c r="D52" s="30">
        <f>IF(B52&lt;Eingaben!$C$6,1,0)</f>
        <v/>
      </c>
      <c r="E52" s="38">
        <f>(1+Eingaben!$C$13)^44</f>
        <v/>
      </c>
      <c r="F52" s="38">
        <f>(1+Eingaben!$C$17)^44</f>
        <v/>
      </c>
      <c r="G52" s="39">
        <f>IF(B52&gt;=Eingaben!$C$9,Eingaben!$C$10,1)</f>
        <v/>
      </c>
      <c r="H52" s="40">
        <f>Eingaben!$C$12*E52*G52*C52</f>
        <v/>
      </c>
      <c r="I52" s="40">
        <f>Parameter!$C$4*E52</f>
        <v/>
      </c>
      <c r="J52" s="40">
        <f>Parameter!$C$5*E52</f>
        <v/>
      </c>
      <c r="K52" s="40">
        <f>MIN(H52,12*(IF(Eingaben!$C$22=2,Umrechnung!$C$54,Eingaben!$C$23))*IF(Eingaben!$C$25=1,E52,1))*C52</f>
        <v/>
      </c>
      <c r="L52" s="40">
        <f>MIN(K52,MAX(0,Parameter!$C$42*I52-P52))</f>
        <v/>
      </c>
      <c r="M52" s="40">
        <f>MIN(K52,MAX(0,Parameter!$C$43*I52-N52))</f>
        <v/>
      </c>
      <c r="N52" s="40">
        <f>C52*IF(K52/12+0.000000001&lt;Eingaben!$C$29,0,12*Eingaben!$C$27*IF(Eingaben!$C$28=1,E52,1))</f>
        <v/>
      </c>
      <c r="O52" s="40">
        <f>IF(Eingaben!$C$30=2,MIN(Eingaben!$C$26*K52,W52),Eingaben!$C$26*IF(Eingaben!$C$30=1,M52,K52))</f>
        <v/>
      </c>
      <c r="P52" s="40">
        <f>O52+N52</f>
        <v/>
      </c>
      <c r="Q52" s="40">
        <f>K52+P52</f>
        <v/>
      </c>
      <c r="R52" s="40">
        <f>MIN(Q52,Parameter!$C$42*I52)</f>
        <v/>
      </c>
      <c r="S52" s="40">
        <f>Q52-R52</f>
        <v/>
      </c>
      <c r="T52" s="40">
        <f>MIN(H52,I52)-MIN(H52-M52,I52)</f>
        <v/>
      </c>
      <c r="U52" s="40">
        <f>MIN(H52,J52)-MIN(H52-M52,J52)</f>
        <v/>
      </c>
      <c r="V52" s="40">
        <f>T52*(Parameter!$C$10+Parameter!$C$11)+U52*((Parameter!$C$12+Parameter!$C$13)/2+Parameter!$C$58)</f>
        <v/>
      </c>
      <c r="W52" s="40">
        <f>T52*(Parameter!$C$10+Parameter!$C$11)+U52*((Parameter!$C$12+Parameter!$C$13)/2+Parameter!$C$15)</f>
        <v/>
      </c>
      <c r="X52" s="40">
        <f>MIN(H52,I52)*Parameter!$C$10+MIN(H52,J52)*(0.96*(Parameter!$C$12+Parameter!$C$13)/2+Parameter!$C$58)</f>
        <v/>
      </c>
      <c r="Y52" s="40">
        <f>MIN(H52-M52,I52)*Parameter!$C$10+MIN(H52-M52,J52)*(0.96*(Parameter!$C$12+Parameter!$C$13)/2+Parameter!$C$58)</f>
        <v/>
      </c>
      <c r="Z52" s="40">
        <f>MAX(0,H52-Parameter!$C$32*F52-Parameter!$C$33-X52)</f>
        <v/>
      </c>
      <c r="AA52" s="40">
        <f>MAX(0,H52-L52-Parameter!$C$32*F52-Parameter!$C$33-Y52)</f>
        <v/>
      </c>
      <c r="AB52" s="40">
        <f>MAX(0,(Z52+IF(Eingaben!$C$14=3,Eingaben!$C$15,0))/Parameter!$C$57/F52)</f>
        <v/>
      </c>
      <c r="AC52" s="40">
        <f>Parameter!$C$57*F52*(IF(AB52&lt;=Parameter!$C$18,0,IF(AB52&lt;=Parameter!$C$19,(Parameter!$C$22*(AB52-Parameter!$C$18)/10000+Parameter!$C$23)*(AB52-Parameter!$C$18)/10000,IF(AB52&lt;=Parameter!$C$20,(Parameter!$C$24*(AB52-Parameter!$C$19)/10000+Parameter!$C$25)*(AB52-Parameter!$C$19)/10000+Parameter!$C$26,IF(AB52&lt;=Parameter!$C$21,0.42*AB52-Parameter!$C$27,0.45*AB52-Parameter!$C$28)))))</f>
        <v/>
      </c>
      <c r="AD52" s="40">
        <f>AC52+IF(AC52&lt;=(Parameter!$C$30*Parameter!$C$57*F52),0,MIN(Parameter!$C$29*AC52,Parameter!$C$31*(AC52-(Parameter!$C$30*Parameter!$C$57*F52))))+Eingaben!$C$16*AC52</f>
        <v/>
      </c>
      <c r="AE52" s="40">
        <f>MAX(0,(AA52+IF(Eingaben!$C$14=3,Eingaben!$C$15,0))/Parameter!$C$57/F52)</f>
        <v/>
      </c>
      <c r="AF52" s="40">
        <f>Parameter!$C$57*F52*(IF(AE52&lt;=Parameter!$C$18,0,IF(AE52&lt;=Parameter!$C$19,(Parameter!$C$22*(AE52-Parameter!$C$18)/10000+Parameter!$C$23)*(AE52-Parameter!$C$18)/10000,IF(AE52&lt;=Parameter!$C$20,(Parameter!$C$24*(AE52-Parameter!$C$19)/10000+Parameter!$C$25)*(AE52-Parameter!$C$19)/10000+Parameter!$C$26,IF(AE52&lt;=Parameter!$C$21,0.42*AE52-Parameter!$C$27,0.45*AE52-Parameter!$C$28)))))</f>
        <v/>
      </c>
      <c r="AG52" s="40">
        <f>AF52+IF(AF52&lt;=(Parameter!$C$30*Parameter!$C$57*F52),0,MIN(Parameter!$C$29*AF52,Parameter!$C$31*(AF52-(Parameter!$C$30*Parameter!$C$57*F52))))+Eingaben!$C$16*AF52</f>
        <v/>
      </c>
      <c r="AH52" s="40">
        <f>AD52-AG52</f>
        <v/>
      </c>
      <c r="AI52" s="40">
        <f>MAX(0,K52-V52-AH52)</f>
        <v/>
      </c>
      <c r="AJ52" s="40">
        <f>MIN(AI52,Parameter!$C$49)</f>
        <v/>
      </c>
      <c r="AK52" s="40">
        <f>Parameter!$C$44*MIN(AJ52,Parameter!$C$45)+Parameter!$C$46*MAX(0,MIN(AJ52,Parameter!$C$47)-Parameter!$C$45)</f>
        <v/>
      </c>
      <c r="AL52" s="40">
        <f>MIN(AJ52,Parameter!$C$48)*Eingaben!$C$18*IF(44&lt;Eingaben!$C$19,1,0)</f>
        <v/>
      </c>
      <c r="AM52" s="40">
        <f>MIN(AK52+AL52,MAX(0,Parameter!$C$49-AJ52))</f>
        <v/>
      </c>
      <c r="AN52" s="40">
        <f>MIN(MIN(AJ52,Parameter!$C$47)+AM52,Parameter!$C$50)</f>
        <v/>
      </c>
      <c r="AO52" s="40">
        <f>MAX(0,Z52-AN52)</f>
        <v/>
      </c>
      <c r="AP52" s="40">
        <f>MAX(0,(AO52+IF(Eingaben!$C$14=3,Eingaben!$C$15,0))/Parameter!$C$57/F52)</f>
        <v/>
      </c>
      <c r="AQ52" s="40">
        <f>Parameter!$C$57*F52*(IF(AP52&lt;=Parameter!$C$18,0,IF(AP52&lt;=Parameter!$C$19,(Parameter!$C$22*(AP52-Parameter!$C$18)/10000+Parameter!$C$23)*(AP52-Parameter!$C$18)/10000,IF(AP52&lt;=Parameter!$C$20,(Parameter!$C$24*(AP52-Parameter!$C$19)/10000+Parameter!$C$25)*(AP52-Parameter!$C$19)/10000+Parameter!$C$26,IF(AP52&lt;=Parameter!$C$21,0.42*AP52-Parameter!$C$27,0.45*AP52-Parameter!$C$28)))))</f>
        <v/>
      </c>
      <c r="AR52" s="40">
        <f>AQ52+IF(AQ52&lt;=(Parameter!$C$30*Parameter!$C$57*F52),0,MIN(Parameter!$C$29*AQ52,Parameter!$C$31*(AQ52-(Parameter!$C$30*Parameter!$C$57*F52))))+Eingaben!$C$16*AQ52</f>
        <v/>
      </c>
      <c r="AS52" s="40">
        <f>AD52-AR52</f>
        <v/>
      </c>
      <c r="AT52" s="40">
        <f>MAX(0,AS52-AM52)</f>
        <v/>
      </c>
      <c r="AU52" s="40">
        <f>MIN(AJ52,Parameter!$C$47)+AM52</f>
        <v/>
      </c>
      <c r="AV52" s="40">
        <f>MAX(0,AJ52-Parameter!$C$47)+AT51</f>
        <v/>
      </c>
      <c r="AW52" s="40">
        <f>MAX(0,AI52-Parameter!$C$49)</f>
        <v/>
      </c>
      <c r="AX52" s="40">
        <f>AI52</f>
        <v/>
      </c>
      <c r="AY52" s="40">
        <f>IF(D52=0,AY51,AY51*(1+Parameter!$C$60)+R52*(1+Parameter!$C$60)^0.5)</f>
        <v/>
      </c>
      <c r="AZ52" s="40">
        <f>IF(D52=0,AZ51,AZ51*(1+Parameter!$C$60)+S52*(1+Parameter!$C$60)^0.5)</f>
        <v/>
      </c>
      <c r="BA52" s="40">
        <f>IF(D52=0,BA51,BA51*(1+Parameter!$C$61)+AU52*(1+Parameter!$C$61)^0.5)</f>
        <v/>
      </c>
      <c r="BB52" s="40">
        <f>IF(D52=0,BB51,BB51*(1+Parameter!$C$61)+AV52*(1+Parameter!$C$61)^0.5)</f>
        <v/>
      </c>
      <c r="BC52" s="40">
        <f>IF(D52=0,BC51,BC51*(1+Parameter!$C$62)+AW52*(1+Parameter!$C$62)^0.5-BF52)</f>
        <v/>
      </c>
      <c r="BD52" s="40">
        <f>IF(D52=0,BD51,BD51+AW52+BE52)</f>
        <v/>
      </c>
      <c r="BE52" s="40">
        <f>MAX(0,MIN(BC51*(1+Parameter!$C$62)+AW52*(1+Parameter!$C$62)^0.5-BC51-AW52,BC51*Parameter!$C$39*Parameter!$C$40))</f>
        <v/>
      </c>
      <c r="BF52" s="40">
        <f>MAX(0,BE52*(1-Parameter!$C$37)-Parameter!$C$67)*Parameter!$C$36</f>
        <v/>
      </c>
      <c r="BG52" s="40">
        <f>IF(D52=0,BG51,BG51*(1+Parameter!$C$62)+AX52*(1+Parameter!$C$62)^0.5-BJ52)</f>
        <v/>
      </c>
      <c r="BH52" s="40">
        <f>IF(D52=0,BH51,BH51+AX52+BI52)</f>
        <v/>
      </c>
      <c r="BI52" s="40">
        <f>MAX(0,MIN(BG51*(1+Parameter!$C$62)+AX52*(1+Parameter!$C$62)^0.5-BG51-AX52,BG51*Parameter!$C$39*Parameter!$C$40))</f>
        <v/>
      </c>
      <c r="BJ52" s="40">
        <f>MAX(0,BI52*(1-Parameter!$C$37)-Parameter!$C$67)*Parameter!$C$36</f>
        <v/>
      </c>
      <c r="BK52" s="38">
        <f>T52/(Parameter!$C$8*E52)</f>
        <v/>
      </c>
      <c r="BL52" s="38">
        <f>BL51+BK52</f>
        <v/>
      </c>
    </row>
    <row r="53">
      <c r="A53" s="32">
        <f>2026+45</f>
        <v/>
      </c>
      <c r="B53" s="32">
        <f>Eingaben!$C$5+45</f>
        <v/>
      </c>
      <c r="C53" s="32">
        <f>IF(AND(B53&lt;Eingaben!$C$8,B53&lt;Eingaben!$C$6),1,0)</f>
        <v/>
      </c>
      <c r="D53" s="32">
        <f>IF(B53&lt;Eingaben!$C$6,1,0)</f>
        <v/>
      </c>
      <c r="E53" s="41">
        <f>(1+Eingaben!$C$13)^45</f>
        <v/>
      </c>
      <c r="F53" s="41">
        <f>(1+Eingaben!$C$17)^45</f>
        <v/>
      </c>
      <c r="G53" s="42">
        <f>IF(B53&gt;=Eingaben!$C$9,Eingaben!$C$10,1)</f>
        <v/>
      </c>
      <c r="H53" s="43">
        <f>Eingaben!$C$12*E53*G53*C53</f>
        <v/>
      </c>
      <c r="I53" s="43">
        <f>Parameter!$C$4*E53</f>
        <v/>
      </c>
      <c r="J53" s="43">
        <f>Parameter!$C$5*E53</f>
        <v/>
      </c>
      <c r="K53" s="43">
        <f>MIN(H53,12*(IF(Eingaben!$C$22=2,Umrechnung!$C$54,Eingaben!$C$23))*IF(Eingaben!$C$25=1,E53,1))*C53</f>
        <v/>
      </c>
      <c r="L53" s="43">
        <f>MIN(K53,MAX(0,Parameter!$C$42*I53-P53))</f>
        <v/>
      </c>
      <c r="M53" s="43">
        <f>MIN(K53,MAX(0,Parameter!$C$43*I53-N53))</f>
        <v/>
      </c>
      <c r="N53" s="43">
        <f>C53*IF(K53/12+0.000000001&lt;Eingaben!$C$29,0,12*Eingaben!$C$27*IF(Eingaben!$C$28=1,E53,1))</f>
        <v/>
      </c>
      <c r="O53" s="43">
        <f>IF(Eingaben!$C$30=2,MIN(Eingaben!$C$26*K53,W53),Eingaben!$C$26*IF(Eingaben!$C$30=1,M53,K53))</f>
        <v/>
      </c>
      <c r="P53" s="43">
        <f>O53+N53</f>
        <v/>
      </c>
      <c r="Q53" s="43">
        <f>K53+P53</f>
        <v/>
      </c>
      <c r="R53" s="43">
        <f>MIN(Q53,Parameter!$C$42*I53)</f>
        <v/>
      </c>
      <c r="S53" s="43">
        <f>Q53-R53</f>
        <v/>
      </c>
      <c r="T53" s="43">
        <f>MIN(H53,I53)-MIN(H53-M53,I53)</f>
        <v/>
      </c>
      <c r="U53" s="43">
        <f>MIN(H53,J53)-MIN(H53-M53,J53)</f>
        <v/>
      </c>
      <c r="V53" s="43">
        <f>T53*(Parameter!$C$10+Parameter!$C$11)+U53*((Parameter!$C$12+Parameter!$C$13)/2+Parameter!$C$58)</f>
        <v/>
      </c>
      <c r="W53" s="43">
        <f>T53*(Parameter!$C$10+Parameter!$C$11)+U53*((Parameter!$C$12+Parameter!$C$13)/2+Parameter!$C$15)</f>
        <v/>
      </c>
      <c r="X53" s="43">
        <f>MIN(H53,I53)*Parameter!$C$10+MIN(H53,J53)*(0.96*(Parameter!$C$12+Parameter!$C$13)/2+Parameter!$C$58)</f>
        <v/>
      </c>
      <c r="Y53" s="43">
        <f>MIN(H53-M53,I53)*Parameter!$C$10+MIN(H53-M53,J53)*(0.96*(Parameter!$C$12+Parameter!$C$13)/2+Parameter!$C$58)</f>
        <v/>
      </c>
      <c r="Z53" s="43">
        <f>MAX(0,H53-Parameter!$C$32*F53-Parameter!$C$33-X53)</f>
        <v/>
      </c>
      <c r="AA53" s="43">
        <f>MAX(0,H53-L53-Parameter!$C$32*F53-Parameter!$C$33-Y53)</f>
        <v/>
      </c>
      <c r="AB53" s="43">
        <f>MAX(0,(Z53+IF(Eingaben!$C$14=3,Eingaben!$C$15,0))/Parameter!$C$57/F53)</f>
        <v/>
      </c>
      <c r="AC53" s="43">
        <f>Parameter!$C$57*F53*(IF(AB53&lt;=Parameter!$C$18,0,IF(AB53&lt;=Parameter!$C$19,(Parameter!$C$22*(AB53-Parameter!$C$18)/10000+Parameter!$C$23)*(AB53-Parameter!$C$18)/10000,IF(AB53&lt;=Parameter!$C$20,(Parameter!$C$24*(AB53-Parameter!$C$19)/10000+Parameter!$C$25)*(AB53-Parameter!$C$19)/10000+Parameter!$C$26,IF(AB53&lt;=Parameter!$C$21,0.42*AB53-Parameter!$C$27,0.45*AB53-Parameter!$C$28)))))</f>
        <v/>
      </c>
      <c r="AD53" s="43">
        <f>AC53+IF(AC53&lt;=(Parameter!$C$30*Parameter!$C$57*F53),0,MIN(Parameter!$C$29*AC53,Parameter!$C$31*(AC53-(Parameter!$C$30*Parameter!$C$57*F53))))+Eingaben!$C$16*AC53</f>
        <v/>
      </c>
      <c r="AE53" s="43">
        <f>MAX(0,(AA53+IF(Eingaben!$C$14=3,Eingaben!$C$15,0))/Parameter!$C$57/F53)</f>
        <v/>
      </c>
      <c r="AF53" s="43">
        <f>Parameter!$C$57*F53*(IF(AE53&lt;=Parameter!$C$18,0,IF(AE53&lt;=Parameter!$C$19,(Parameter!$C$22*(AE53-Parameter!$C$18)/10000+Parameter!$C$23)*(AE53-Parameter!$C$18)/10000,IF(AE53&lt;=Parameter!$C$20,(Parameter!$C$24*(AE53-Parameter!$C$19)/10000+Parameter!$C$25)*(AE53-Parameter!$C$19)/10000+Parameter!$C$26,IF(AE53&lt;=Parameter!$C$21,0.42*AE53-Parameter!$C$27,0.45*AE53-Parameter!$C$28)))))</f>
        <v/>
      </c>
      <c r="AG53" s="43">
        <f>AF53+IF(AF53&lt;=(Parameter!$C$30*Parameter!$C$57*F53),0,MIN(Parameter!$C$29*AF53,Parameter!$C$31*(AF53-(Parameter!$C$30*Parameter!$C$57*F53))))+Eingaben!$C$16*AF53</f>
        <v/>
      </c>
      <c r="AH53" s="43">
        <f>AD53-AG53</f>
        <v/>
      </c>
      <c r="AI53" s="43">
        <f>MAX(0,K53-V53-AH53)</f>
        <v/>
      </c>
      <c r="AJ53" s="43">
        <f>MIN(AI53,Parameter!$C$49)</f>
        <v/>
      </c>
      <c r="AK53" s="43">
        <f>Parameter!$C$44*MIN(AJ53,Parameter!$C$45)+Parameter!$C$46*MAX(0,MIN(AJ53,Parameter!$C$47)-Parameter!$C$45)</f>
        <v/>
      </c>
      <c r="AL53" s="43">
        <f>MIN(AJ53,Parameter!$C$48)*Eingaben!$C$18*IF(45&lt;Eingaben!$C$19,1,0)</f>
        <v/>
      </c>
      <c r="AM53" s="43">
        <f>MIN(AK53+AL53,MAX(0,Parameter!$C$49-AJ53))</f>
        <v/>
      </c>
      <c r="AN53" s="43">
        <f>MIN(MIN(AJ53,Parameter!$C$47)+AM53,Parameter!$C$50)</f>
        <v/>
      </c>
      <c r="AO53" s="43">
        <f>MAX(0,Z53-AN53)</f>
        <v/>
      </c>
      <c r="AP53" s="43">
        <f>MAX(0,(AO53+IF(Eingaben!$C$14=3,Eingaben!$C$15,0))/Parameter!$C$57/F53)</f>
        <v/>
      </c>
      <c r="AQ53" s="43">
        <f>Parameter!$C$57*F53*(IF(AP53&lt;=Parameter!$C$18,0,IF(AP53&lt;=Parameter!$C$19,(Parameter!$C$22*(AP53-Parameter!$C$18)/10000+Parameter!$C$23)*(AP53-Parameter!$C$18)/10000,IF(AP53&lt;=Parameter!$C$20,(Parameter!$C$24*(AP53-Parameter!$C$19)/10000+Parameter!$C$25)*(AP53-Parameter!$C$19)/10000+Parameter!$C$26,IF(AP53&lt;=Parameter!$C$21,0.42*AP53-Parameter!$C$27,0.45*AP53-Parameter!$C$28)))))</f>
        <v/>
      </c>
      <c r="AR53" s="43">
        <f>AQ53+IF(AQ53&lt;=(Parameter!$C$30*Parameter!$C$57*F53),0,MIN(Parameter!$C$29*AQ53,Parameter!$C$31*(AQ53-(Parameter!$C$30*Parameter!$C$57*F53))))+Eingaben!$C$16*AQ53</f>
        <v/>
      </c>
      <c r="AS53" s="43">
        <f>AD53-AR53</f>
        <v/>
      </c>
      <c r="AT53" s="43">
        <f>MAX(0,AS53-AM53)</f>
        <v/>
      </c>
      <c r="AU53" s="43">
        <f>MIN(AJ53,Parameter!$C$47)+AM53</f>
        <v/>
      </c>
      <c r="AV53" s="43">
        <f>MAX(0,AJ53-Parameter!$C$47)+AT52</f>
        <v/>
      </c>
      <c r="AW53" s="43">
        <f>MAX(0,AI53-Parameter!$C$49)</f>
        <v/>
      </c>
      <c r="AX53" s="43">
        <f>AI53</f>
        <v/>
      </c>
      <c r="AY53" s="43">
        <f>IF(D53=0,AY52,AY52*(1+Parameter!$C$60)+R53*(1+Parameter!$C$60)^0.5)</f>
        <v/>
      </c>
      <c r="AZ53" s="43">
        <f>IF(D53=0,AZ52,AZ52*(1+Parameter!$C$60)+S53*(1+Parameter!$C$60)^0.5)</f>
        <v/>
      </c>
      <c r="BA53" s="43">
        <f>IF(D53=0,BA52,BA52*(1+Parameter!$C$61)+AU53*(1+Parameter!$C$61)^0.5)</f>
        <v/>
      </c>
      <c r="BB53" s="43">
        <f>IF(D53=0,BB52,BB52*(1+Parameter!$C$61)+AV53*(1+Parameter!$C$61)^0.5)</f>
        <v/>
      </c>
      <c r="BC53" s="43">
        <f>IF(D53=0,BC52,BC52*(1+Parameter!$C$62)+AW53*(1+Parameter!$C$62)^0.5-BF53)</f>
        <v/>
      </c>
      <c r="BD53" s="43">
        <f>IF(D53=0,BD52,BD52+AW53+BE53)</f>
        <v/>
      </c>
      <c r="BE53" s="43">
        <f>MAX(0,MIN(BC52*(1+Parameter!$C$62)+AW53*(1+Parameter!$C$62)^0.5-BC52-AW53,BC52*Parameter!$C$39*Parameter!$C$40))</f>
        <v/>
      </c>
      <c r="BF53" s="43">
        <f>MAX(0,BE53*(1-Parameter!$C$37)-Parameter!$C$67)*Parameter!$C$36</f>
        <v/>
      </c>
      <c r="BG53" s="43">
        <f>IF(D53=0,BG52,BG52*(1+Parameter!$C$62)+AX53*(1+Parameter!$C$62)^0.5-BJ53)</f>
        <v/>
      </c>
      <c r="BH53" s="43">
        <f>IF(D53=0,BH52,BH52+AX53+BI53)</f>
        <v/>
      </c>
      <c r="BI53" s="43">
        <f>MAX(0,MIN(BG52*(1+Parameter!$C$62)+AX53*(1+Parameter!$C$62)^0.5-BG52-AX53,BG52*Parameter!$C$39*Parameter!$C$40))</f>
        <v/>
      </c>
      <c r="BJ53" s="43">
        <f>MAX(0,BI53*(1-Parameter!$C$37)-Parameter!$C$67)*Parameter!$C$36</f>
        <v/>
      </c>
      <c r="BK53" s="41">
        <f>T53/(Parameter!$C$8*E53)</f>
        <v/>
      </c>
      <c r="BL53" s="41">
        <f>BL52+BK53</f>
        <v/>
      </c>
    </row>
    <row r="54">
      <c r="A54" s="30">
        <f>2026+46</f>
        <v/>
      </c>
      <c r="B54" s="30">
        <f>Eingaben!$C$5+46</f>
        <v/>
      </c>
      <c r="C54" s="30">
        <f>IF(AND(B54&lt;Eingaben!$C$8,B54&lt;Eingaben!$C$6),1,0)</f>
        <v/>
      </c>
      <c r="D54" s="30">
        <f>IF(B54&lt;Eingaben!$C$6,1,0)</f>
        <v/>
      </c>
      <c r="E54" s="38">
        <f>(1+Eingaben!$C$13)^46</f>
        <v/>
      </c>
      <c r="F54" s="38">
        <f>(1+Eingaben!$C$17)^46</f>
        <v/>
      </c>
      <c r="G54" s="39">
        <f>IF(B54&gt;=Eingaben!$C$9,Eingaben!$C$10,1)</f>
        <v/>
      </c>
      <c r="H54" s="40">
        <f>Eingaben!$C$12*E54*G54*C54</f>
        <v/>
      </c>
      <c r="I54" s="40">
        <f>Parameter!$C$4*E54</f>
        <v/>
      </c>
      <c r="J54" s="40">
        <f>Parameter!$C$5*E54</f>
        <v/>
      </c>
      <c r="K54" s="40">
        <f>MIN(H54,12*(IF(Eingaben!$C$22=2,Umrechnung!$C$54,Eingaben!$C$23))*IF(Eingaben!$C$25=1,E54,1))*C54</f>
        <v/>
      </c>
      <c r="L54" s="40">
        <f>MIN(K54,MAX(0,Parameter!$C$42*I54-P54))</f>
        <v/>
      </c>
      <c r="M54" s="40">
        <f>MIN(K54,MAX(0,Parameter!$C$43*I54-N54))</f>
        <v/>
      </c>
      <c r="N54" s="40">
        <f>C54*IF(K54/12+0.000000001&lt;Eingaben!$C$29,0,12*Eingaben!$C$27*IF(Eingaben!$C$28=1,E54,1))</f>
        <v/>
      </c>
      <c r="O54" s="40">
        <f>IF(Eingaben!$C$30=2,MIN(Eingaben!$C$26*K54,W54),Eingaben!$C$26*IF(Eingaben!$C$30=1,M54,K54))</f>
        <v/>
      </c>
      <c r="P54" s="40">
        <f>O54+N54</f>
        <v/>
      </c>
      <c r="Q54" s="40">
        <f>K54+P54</f>
        <v/>
      </c>
      <c r="R54" s="40">
        <f>MIN(Q54,Parameter!$C$42*I54)</f>
        <v/>
      </c>
      <c r="S54" s="40">
        <f>Q54-R54</f>
        <v/>
      </c>
      <c r="T54" s="40">
        <f>MIN(H54,I54)-MIN(H54-M54,I54)</f>
        <v/>
      </c>
      <c r="U54" s="40">
        <f>MIN(H54,J54)-MIN(H54-M54,J54)</f>
        <v/>
      </c>
      <c r="V54" s="40">
        <f>T54*(Parameter!$C$10+Parameter!$C$11)+U54*((Parameter!$C$12+Parameter!$C$13)/2+Parameter!$C$58)</f>
        <v/>
      </c>
      <c r="W54" s="40">
        <f>T54*(Parameter!$C$10+Parameter!$C$11)+U54*((Parameter!$C$12+Parameter!$C$13)/2+Parameter!$C$15)</f>
        <v/>
      </c>
      <c r="X54" s="40">
        <f>MIN(H54,I54)*Parameter!$C$10+MIN(H54,J54)*(0.96*(Parameter!$C$12+Parameter!$C$13)/2+Parameter!$C$58)</f>
        <v/>
      </c>
      <c r="Y54" s="40">
        <f>MIN(H54-M54,I54)*Parameter!$C$10+MIN(H54-M54,J54)*(0.96*(Parameter!$C$12+Parameter!$C$13)/2+Parameter!$C$58)</f>
        <v/>
      </c>
      <c r="Z54" s="40">
        <f>MAX(0,H54-Parameter!$C$32*F54-Parameter!$C$33-X54)</f>
        <v/>
      </c>
      <c r="AA54" s="40">
        <f>MAX(0,H54-L54-Parameter!$C$32*F54-Parameter!$C$33-Y54)</f>
        <v/>
      </c>
      <c r="AB54" s="40">
        <f>MAX(0,(Z54+IF(Eingaben!$C$14=3,Eingaben!$C$15,0))/Parameter!$C$57/F54)</f>
        <v/>
      </c>
      <c r="AC54" s="40">
        <f>Parameter!$C$57*F54*(IF(AB54&lt;=Parameter!$C$18,0,IF(AB54&lt;=Parameter!$C$19,(Parameter!$C$22*(AB54-Parameter!$C$18)/10000+Parameter!$C$23)*(AB54-Parameter!$C$18)/10000,IF(AB54&lt;=Parameter!$C$20,(Parameter!$C$24*(AB54-Parameter!$C$19)/10000+Parameter!$C$25)*(AB54-Parameter!$C$19)/10000+Parameter!$C$26,IF(AB54&lt;=Parameter!$C$21,0.42*AB54-Parameter!$C$27,0.45*AB54-Parameter!$C$28)))))</f>
        <v/>
      </c>
      <c r="AD54" s="40">
        <f>AC54+IF(AC54&lt;=(Parameter!$C$30*Parameter!$C$57*F54),0,MIN(Parameter!$C$29*AC54,Parameter!$C$31*(AC54-(Parameter!$C$30*Parameter!$C$57*F54))))+Eingaben!$C$16*AC54</f>
        <v/>
      </c>
      <c r="AE54" s="40">
        <f>MAX(0,(AA54+IF(Eingaben!$C$14=3,Eingaben!$C$15,0))/Parameter!$C$57/F54)</f>
        <v/>
      </c>
      <c r="AF54" s="40">
        <f>Parameter!$C$57*F54*(IF(AE54&lt;=Parameter!$C$18,0,IF(AE54&lt;=Parameter!$C$19,(Parameter!$C$22*(AE54-Parameter!$C$18)/10000+Parameter!$C$23)*(AE54-Parameter!$C$18)/10000,IF(AE54&lt;=Parameter!$C$20,(Parameter!$C$24*(AE54-Parameter!$C$19)/10000+Parameter!$C$25)*(AE54-Parameter!$C$19)/10000+Parameter!$C$26,IF(AE54&lt;=Parameter!$C$21,0.42*AE54-Parameter!$C$27,0.45*AE54-Parameter!$C$28)))))</f>
        <v/>
      </c>
      <c r="AG54" s="40">
        <f>AF54+IF(AF54&lt;=(Parameter!$C$30*Parameter!$C$57*F54),0,MIN(Parameter!$C$29*AF54,Parameter!$C$31*(AF54-(Parameter!$C$30*Parameter!$C$57*F54))))+Eingaben!$C$16*AF54</f>
        <v/>
      </c>
      <c r="AH54" s="40">
        <f>AD54-AG54</f>
        <v/>
      </c>
      <c r="AI54" s="40">
        <f>MAX(0,K54-V54-AH54)</f>
        <v/>
      </c>
      <c r="AJ54" s="40">
        <f>MIN(AI54,Parameter!$C$49)</f>
        <v/>
      </c>
      <c r="AK54" s="40">
        <f>Parameter!$C$44*MIN(AJ54,Parameter!$C$45)+Parameter!$C$46*MAX(0,MIN(AJ54,Parameter!$C$47)-Parameter!$C$45)</f>
        <v/>
      </c>
      <c r="AL54" s="40">
        <f>MIN(AJ54,Parameter!$C$48)*Eingaben!$C$18*IF(46&lt;Eingaben!$C$19,1,0)</f>
        <v/>
      </c>
      <c r="AM54" s="40">
        <f>MIN(AK54+AL54,MAX(0,Parameter!$C$49-AJ54))</f>
        <v/>
      </c>
      <c r="AN54" s="40">
        <f>MIN(MIN(AJ54,Parameter!$C$47)+AM54,Parameter!$C$50)</f>
        <v/>
      </c>
      <c r="AO54" s="40">
        <f>MAX(0,Z54-AN54)</f>
        <v/>
      </c>
      <c r="AP54" s="40">
        <f>MAX(0,(AO54+IF(Eingaben!$C$14=3,Eingaben!$C$15,0))/Parameter!$C$57/F54)</f>
        <v/>
      </c>
      <c r="AQ54" s="40">
        <f>Parameter!$C$57*F54*(IF(AP54&lt;=Parameter!$C$18,0,IF(AP54&lt;=Parameter!$C$19,(Parameter!$C$22*(AP54-Parameter!$C$18)/10000+Parameter!$C$23)*(AP54-Parameter!$C$18)/10000,IF(AP54&lt;=Parameter!$C$20,(Parameter!$C$24*(AP54-Parameter!$C$19)/10000+Parameter!$C$25)*(AP54-Parameter!$C$19)/10000+Parameter!$C$26,IF(AP54&lt;=Parameter!$C$21,0.42*AP54-Parameter!$C$27,0.45*AP54-Parameter!$C$28)))))</f>
        <v/>
      </c>
      <c r="AR54" s="40">
        <f>AQ54+IF(AQ54&lt;=(Parameter!$C$30*Parameter!$C$57*F54),0,MIN(Parameter!$C$29*AQ54,Parameter!$C$31*(AQ54-(Parameter!$C$30*Parameter!$C$57*F54))))+Eingaben!$C$16*AQ54</f>
        <v/>
      </c>
      <c r="AS54" s="40">
        <f>AD54-AR54</f>
        <v/>
      </c>
      <c r="AT54" s="40">
        <f>MAX(0,AS54-AM54)</f>
        <v/>
      </c>
      <c r="AU54" s="40">
        <f>MIN(AJ54,Parameter!$C$47)+AM54</f>
        <v/>
      </c>
      <c r="AV54" s="40">
        <f>MAX(0,AJ54-Parameter!$C$47)+AT53</f>
        <v/>
      </c>
      <c r="AW54" s="40">
        <f>MAX(0,AI54-Parameter!$C$49)</f>
        <v/>
      </c>
      <c r="AX54" s="40">
        <f>AI54</f>
        <v/>
      </c>
      <c r="AY54" s="40">
        <f>IF(D54=0,AY53,AY53*(1+Parameter!$C$60)+R54*(1+Parameter!$C$60)^0.5)</f>
        <v/>
      </c>
      <c r="AZ54" s="40">
        <f>IF(D54=0,AZ53,AZ53*(1+Parameter!$C$60)+S54*(1+Parameter!$C$60)^0.5)</f>
        <v/>
      </c>
      <c r="BA54" s="40">
        <f>IF(D54=0,BA53,BA53*(1+Parameter!$C$61)+AU54*(1+Parameter!$C$61)^0.5)</f>
        <v/>
      </c>
      <c r="BB54" s="40">
        <f>IF(D54=0,BB53,BB53*(1+Parameter!$C$61)+AV54*(1+Parameter!$C$61)^0.5)</f>
        <v/>
      </c>
      <c r="BC54" s="40">
        <f>IF(D54=0,BC53,BC53*(1+Parameter!$C$62)+AW54*(1+Parameter!$C$62)^0.5-BF54)</f>
        <v/>
      </c>
      <c r="BD54" s="40">
        <f>IF(D54=0,BD53,BD53+AW54+BE54)</f>
        <v/>
      </c>
      <c r="BE54" s="40">
        <f>MAX(0,MIN(BC53*(1+Parameter!$C$62)+AW54*(1+Parameter!$C$62)^0.5-BC53-AW54,BC53*Parameter!$C$39*Parameter!$C$40))</f>
        <v/>
      </c>
      <c r="BF54" s="40">
        <f>MAX(0,BE54*(1-Parameter!$C$37)-Parameter!$C$67)*Parameter!$C$36</f>
        <v/>
      </c>
      <c r="BG54" s="40">
        <f>IF(D54=0,BG53,BG53*(1+Parameter!$C$62)+AX54*(1+Parameter!$C$62)^0.5-BJ54)</f>
        <v/>
      </c>
      <c r="BH54" s="40">
        <f>IF(D54=0,BH53,BH53+AX54+BI54)</f>
        <v/>
      </c>
      <c r="BI54" s="40">
        <f>MAX(0,MIN(BG53*(1+Parameter!$C$62)+AX54*(1+Parameter!$C$62)^0.5-BG53-AX54,BG53*Parameter!$C$39*Parameter!$C$40))</f>
        <v/>
      </c>
      <c r="BJ54" s="40">
        <f>MAX(0,BI54*(1-Parameter!$C$37)-Parameter!$C$67)*Parameter!$C$36</f>
        <v/>
      </c>
      <c r="BK54" s="38">
        <f>T54/(Parameter!$C$8*E54)</f>
        <v/>
      </c>
      <c r="BL54" s="38">
        <f>BL53+BK54</f>
        <v/>
      </c>
    </row>
    <row r="55">
      <c r="A55" s="32">
        <f>2026+47</f>
        <v/>
      </c>
      <c r="B55" s="32">
        <f>Eingaben!$C$5+47</f>
        <v/>
      </c>
      <c r="C55" s="32">
        <f>IF(AND(B55&lt;Eingaben!$C$8,B55&lt;Eingaben!$C$6),1,0)</f>
        <v/>
      </c>
      <c r="D55" s="32">
        <f>IF(B55&lt;Eingaben!$C$6,1,0)</f>
        <v/>
      </c>
      <c r="E55" s="41">
        <f>(1+Eingaben!$C$13)^47</f>
        <v/>
      </c>
      <c r="F55" s="41">
        <f>(1+Eingaben!$C$17)^47</f>
        <v/>
      </c>
      <c r="G55" s="42">
        <f>IF(B55&gt;=Eingaben!$C$9,Eingaben!$C$10,1)</f>
        <v/>
      </c>
      <c r="H55" s="43">
        <f>Eingaben!$C$12*E55*G55*C55</f>
        <v/>
      </c>
      <c r="I55" s="43">
        <f>Parameter!$C$4*E55</f>
        <v/>
      </c>
      <c r="J55" s="43">
        <f>Parameter!$C$5*E55</f>
        <v/>
      </c>
      <c r="K55" s="43">
        <f>MIN(H55,12*(IF(Eingaben!$C$22=2,Umrechnung!$C$54,Eingaben!$C$23))*IF(Eingaben!$C$25=1,E55,1))*C55</f>
        <v/>
      </c>
      <c r="L55" s="43">
        <f>MIN(K55,MAX(0,Parameter!$C$42*I55-P55))</f>
        <v/>
      </c>
      <c r="M55" s="43">
        <f>MIN(K55,MAX(0,Parameter!$C$43*I55-N55))</f>
        <v/>
      </c>
      <c r="N55" s="43">
        <f>C55*IF(K55/12+0.000000001&lt;Eingaben!$C$29,0,12*Eingaben!$C$27*IF(Eingaben!$C$28=1,E55,1))</f>
        <v/>
      </c>
      <c r="O55" s="43">
        <f>IF(Eingaben!$C$30=2,MIN(Eingaben!$C$26*K55,W55),Eingaben!$C$26*IF(Eingaben!$C$30=1,M55,K55))</f>
        <v/>
      </c>
      <c r="P55" s="43">
        <f>O55+N55</f>
        <v/>
      </c>
      <c r="Q55" s="43">
        <f>K55+P55</f>
        <v/>
      </c>
      <c r="R55" s="43">
        <f>MIN(Q55,Parameter!$C$42*I55)</f>
        <v/>
      </c>
      <c r="S55" s="43">
        <f>Q55-R55</f>
        <v/>
      </c>
      <c r="T55" s="43">
        <f>MIN(H55,I55)-MIN(H55-M55,I55)</f>
        <v/>
      </c>
      <c r="U55" s="43">
        <f>MIN(H55,J55)-MIN(H55-M55,J55)</f>
        <v/>
      </c>
      <c r="V55" s="43">
        <f>T55*(Parameter!$C$10+Parameter!$C$11)+U55*((Parameter!$C$12+Parameter!$C$13)/2+Parameter!$C$58)</f>
        <v/>
      </c>
      <c r="W55" s="43">
        <f>T55*(Parameter!$C$10+Parameter!$C$11)+U55*((Parameter!$C$12+Parameter!$C$13)/2+Parameter!$C$15)</f>
        <v/>
      </c>
      <c r="X55" s="43">
        <f>MIN(H55,I55)*Parameter!$C$10+MIN(H55,J55)*(0.96*(Parameter!$C$12+Parameter!$C$13)/2+Parameter!$C$58)</f>
        <v/>
      </c>
      <c r="Y55" s="43">
        <f>MIN(H55-M55,I55)*Parameter!$C$10+MIN(H55-M55,J55)*(0.96*(Parameter!$C$12+Parameter!$C$13)/2+Parameter!$C$58)</f>
        <v/>
      </c>
      <c r="Z55" s="43">
        <f>MAX(0,H55-Parameter!$C$32*F55-Parameter!$C$33-X55)</f>
        <v/>
      </c>
      <c r="AA55" s="43">
        <f>MAX(0,H55-L55-Parameter!$C$32*F55-Parameter!$C$33-Y55)</f>
        <v/>
      </c>
      <c r="AB55" s="43">
        <f>MAX(0,(Z55+IF(Eingaben!$C$14=3,Eingaben!$C$15,0))/Parameter!$C$57/F55)</f>
        <v/>
      </c>
      <c r="AC55" s="43">
        <f>Parameter!$C$57*F55*(IF(AB55&lt;=Parameter!$C$18,0,IF(AB55&lt;=Parameter!$C$19,(Parameter!$C$22*(AB55-Parameter!$C$18)/10000+Parameter!$C$23)*(AB55-Parameter!$C$18)/10000,IF(AB55&lt;=Parameter!$C$20,(Parameter!$C$24*(AB55-Parameter!$C$19)/10000+Parameter!$C$25)*(AB55-Parameter!$C$19)/10000+Parameter!$C$26,IF(AB55&lt;=Parameter!$C$21,0.42*AB55-Parameter!$C$27,0.45*AB55-Parameter!$C$28)))))</f>
        <v/>
      </c>
      <c r="AD55" s="43">
        <f>AC55+IF(AC55&lt;=(Parameter!$C$30*Parameter!$C$57*F55),0,MIN(Parameter!$C$29*AC55,Parameter!$C$31*(AC55-(Parameter!$C$30*Parameter!$C$57*F55))))+Eingaben!$C$16*AC55</f>
        <v/>
      </c>
      <c r="AE55" s="43">
        <f>MAX(0,(AA55+IF(Eingaben!$C$14=3,Eingaben!$C$15,0))/Parameter!$C$57/F55)</f>
        <v/>
      </c>
      <c r="AF55" s="43">
        <f>Parameter!$C$57*F55*(IF(AE55&lt;=Parameter!$C$18,0,IF(AE55&lt;=Parameter!$C$19,(Parameter!$C$22*(AE55-Parameter!$C$18)/10000+Parameter!$C$23)*(AE55-Parameter!$C$18)/10000,IF(AE55&lt;=Parameter!$C$20,(Parameter!$C$24*(AE55-Parameter!$C$19)/10000+Parameter!$C$25)*(AE55-Parameter!$C$19)/10000+Parameter!$C$26,IF(AE55&lt;=Parameter!$C$21,0.42*AE55-Parameter!$C$27,0.45*AE55-Parameter!$C$28)))))</f>
        <v/>
      </c>
      <c r="AG55" s="43">
        <f>AF55+IF(AF55&lt;=(Parameter!$C$30*Parameter!$C$57*F55),0,MIN(Parameter!$C$29*AF55,Parameter!$C$31*(AF55-(Parameter!$C$30*Parameter!$C$57*F55))))+Eingaben!$C$16*AF55</f>
        <v/>
      </c>
      <c r="AH55" s="43">
        <f>AD55-AG55</f>
        <v/>
      </c>
      <c r="AI55" s="43">
        <f>MAX(0,K55-V55-AH55)</f>
        <v/>
      </c>
      <c r="AJ55" s="43">
        <f>MIN(AI55,Parameter!$C$49)</f>
        <v/>
      </c>
      <c r="AK55" s="43">
        <f>Parameter!$C$44*MIN(AJ55,Parameter!$C$45)+Parameter!$C$46*MAX(0,MIN(AJ55,Parameter!$C$47)-Parameter!$C$45)</f>
        <v/>
      </c>
      <c r="AL55" s="43">
        <f>MIN(AJ55,Parameter!$C$48)*Eingaben!$C$18*IF(47&lt;Eingaben!$C$19,1,0)</f>
        <v/>
      </c>
      <c r="AM55" s="43">
        <f>MIN(AK55+AL55,MAX(0,Parameter!$C$49-AJ55))</f>
        <v/>
      </c>
      <c r="AN55" s="43">
        <f>MIN(MIN(AJ55,Parameter!$C$47)+AM55,Parameter!$C$50)</f>
        <v/>
      </c>
      <c r="AO55" s="43">
        <f>MAX(0,Z55-AN55)</f>
        <v/>
      </c>
      <c r="AP55" s="43">
        <f>MAX(0,(AO55+IF(Eingaben!$C$14=3,Eingaben!$C$15,0))/Parameter!$C$57/F55)</f>
        <v/>
      </c>
      <c r="AQ55" s="43">
        <f>Parameter!$C$57*F55*(IF(AP55&lt;=Parameter!$C$18,0,IF(AP55&lt;=Parameter!$C$19,(Parameter!$C$22*(AP55-Parameter!$C$18)/10000+Parameter!$C$23)*(AP55-Parameter!$C$18)/10000,IF(AP55&lt;=Parameter!$C$20,(Parameter!$C$24*(AP55-Parameter!$C$19)/10000+Parameter!$C$25)*(AP55-Parameter!$C$19)/10000+Parameter!$C$26,IF(AP55&lt;=Parameter!$C$21,0.42*AP55-Parameter!$C$27,0.45*AP55-Parameter!$C$28)))))</f>
        <v/>
      </c>
      <c r="AR55" s="43">
        <f>AQ55+IF(AQ55&lt;=(Parameter!$C$30*Parameter!$C$57*F55),0,MIN(Parameter!$C$29*AQ55,Parameter!$C$31*(AQ55-(Parameter!$C$30*Parameter!$C$57*F55))))+Eingaben!$C$16*AQ55</f>
        <v/>
      </c>
      <c r="AS55" s="43">
        <f>AD55-AR55</f>
        <v/>
      </c>
      <c r="AT55" s="43">
        <f>MAX(0,AS55-AM55)</f>
        <v/>
      </c>
      <c r="AU55" s="43">
        <f>MIN(AJ55,Parameter!$C$47)+AM55</f>
        <v/>
      </c>
      <c r="AV55" s="43">
        <f>MAX(0,AJ55-Parameter!$C$47)+AT54</f>
        <v/>
      </c>
      <c r="AW55" s="43">
        <f>MAX(0,AI55-Parameter!$C$49)</f>
        <v/>
      </c>
      <c r="AX55" s="43">
        <f>AI55</f>
        <v/>
      </c>
      <c r="AY55" s="43">
        <f>IF(D55=0,AY54,AY54*(1+Parameter!$C$60)+R55*(1+Parameter!$C$60)^0.5)</f>
        <v/>
      </c>
      <c r="AZ55" s="43">
        <f>IF(D55=0,AZ54,AZ54*(1+Parameter!$C$60)+S55*(1+Parameter!$C$60)^0.5)</f>
        <v/>
      </c>
      <c r="BA55" s="43">
        <f>IF(D55=0,BA54,BA54*(1+Parameter!$C$61)+AU55*(1+Parameter!$C$61)^0.5)</f>
        <v/>
      </c>
      <c r="BB55" s="43">
        <f>IF(D55=0,BB54,BB54*(1+Parameter!$C$61)+AV55*(1+Parameter!$C$61)^0.5)</f>
        <v/>
      </c>
      <c r="BC55" s="43">
        <f>IF(D55=0,BC54,BC54*(1+Parameter!$C$62)+AW55*(1+Parameter!$C$62)^0.5-BF55)</f>
        <v/>
      </c>
      <c r="BD55" s="43">
        <f>IF(D55=0,BD54,BD54+AW55+BE55)</f>
        <v/>
      </c>
      <c r="BE55" s="43">
        <f>MAX(0,MIN(BC54*(1+Parameter!$C$62)+AW55*(1+Parameter!$C$62)^0.5-BC54-AW55,BC54*Parameter!$C$39*Parameter!$C$40))</f>
        <v/>
      </c>
      <c r="BF55" s="43">
        <f>MAX(0,BE55*(1-Parameter!$C$37)-Parameter!$C$67)*Parameter!$C$36</f>
        <v/>
      </c>
      <c r="BG55" s="43">
        <f>IF(D55=0,BG54,BG54*(1+Parameter!$C$62)+AX55*(1+Parameter!$C$62)^0.5-BJ55)</f>
        <v/>
      </c>
      <c r="BH55" s="43">
        <f>IF(D55=0,BH54,BH54+AX55+BI55)</f>
        <v/>
      </c>
      <c r="BI55" s="43">
        <f>MAX(0,MIN(BG54*(1+Parameter!$C$62)+AX55*(1+Parameter!$C$62)^0.5-BG54-AX55,BG54*Parameter!$C$39*Parameter!$C$40))</f>
        <v/>
      </c>
      <c r="BJ55" s="43">
        <f>MAX(0,BI55*(1-Parameter!$C$37)-Parameter!$C$67)*Parameter!$C$36</f>
        <v/>
      </c>
      <c r="BK55" s="41">
        <f>T55/(Parameter!$C$8*E55)</f>
        <v/>
      </c>
      <c r="BL55" s="41">
        <f>BL54+BK55</f>
        <v/>
      </c>
    </row>
    <row r="56">
      <c r="A56" s="30">
        <f>2026+48</f>
        <v/>
      </c>
      <c r="B56" s="30">
        <f>Eingaben!$C$5+48</f>
        <v/>
      </c>
      <c r="C56" s="30">
        <f>IF(AND(B56&lt;Eingaben!$C$8,B56&lt;Eingaben!$C$6),1,0)</f>
        <v/>
      </c>
      <c r="D56" s="30">
        <f>IF(B56&lt;Eingaben!$C$6,1,0)</f>
        <v/>
      </c>
      <c r="E56" s="38">
        <f>(1+Eingaben!$C$13)^48</f>
        <v/>
      </c>
      <c r="F56" s="38">
        <f>(1+Eingaben!$C$17)^48</f>
        <v/>
      </c>
      <c r="G56" s="39">
        <f>IF(B56&gt;=Eingaben!$C$9,Eingaben!$C$10,1)</f>
        <v/>
      </c>
      <c r="H56" s="40">
        <f>Eingaben!$C$12*E56*G56*C56</f>
        <v/>
      </c>
      <c r="I56" s="40">
        <f>Parameter!$C$4*E56</f>
        <v/>
      </c>
      <c r="J56" s="40">
        <f>Parameter!$C$5*E56</f>
        <v/>
      </c>
      <c r="K56" s="40">
        <f>MIN(H56,12*(IF(Eingaben!$C$22=2,Umrechnung!$C$54,Eingaben!$C$23))*IF(Eingaben!$C$25=1,E56,1))*C56</f>
        <v/>
      </c>
      <c r="L56" s="40">
        <f>MIN(K56,MAX(0,Parameter!$C$42*I56-P56))</f>
        <v/>
      </c>
      <c r="M56" s="40">
        <f>MIN(K56,MAX(0,Parameter!$C$43*I56-N56))</f>
        <v/>
      </c>
      <c r="N56" s="40">
        <f>C56*IF(K56/12+0.000000001&lt;Eingaben!$C$29,0,12*Eingaben!$C$27*IF(Eingaben!$C$28=1,E56,1))</f>
        <v/>
      </c>
      <c r="O56" s="40">
        <f>IF(Eingaben!$C$30=2,MIN(Eingaben!$C$26*K56,W56),Eingaben!$C$26*IF(Eingaben!$C$30=1,M56,K56))</f>
        <v/>
      </c>
      <c r="P56" s="40">
        <f>O56+N56</f>
        <v/>
      </c>
      <c r="Q56" s="40">
        <f>K56+P56</f>
        <v/>
      </c>
      <c r="R56" s="40">
        <f>MIN(Q56,Parameter!$C$42*I56)</f>
        <v/>
      </c>
      <c r="S56" s="40">
        <f>Q56-R56</f>
        <v/>
      </c>
      <c r="T56" s="40">
        <f>MIN(H56,I56)-MIN(H56-M56,I56)</f>
        <v/>
      </c>
      <c r="U56" s="40">
        <f>MIN(H56,J56)-MIN(H56-M56,J56)</f>
        <v/>
      </c>
      <c r="V56" s="40">
        <f>T56*(Parameter!$C$10+Parameter!$C$11)+U56*((Parameter!$C$12+Parameter!$C$13)/2+Parameter!$C$58)</f>
        <v/>
      </c>
      <c r="W56" s="40">
        <f>T56*(Parameter!$C$10+Parameter!$C$11)+U56*((Parameter!$C$12+Parameter!$C$13)/2+Parameter!$C$15)</f>
        <v/>
      </c>
      <c r="X56" s="40">
        <f>MIN(H56,I56)*Parameter!$C$10+MIN(H56,J56)*(0.96*(Parameter!$C$12+Parameter!$C$13)/2+Parameter!$C$58)</f>
        <v/>
      </c>
      <c r="Y56" s="40">
        <f>MIN(H56-M56,I56)*Parameter!$C$10+MIN(H56-M56,J56)*(0.96*(Parameter!$C$12+Parameter!$C$13)/2+Parameter!$C$58)</f>
        <v/>
      </c>
      <c r="Z56" s="40">
        <f>MAX(0,H56-Parameter!$C$32*F56-Parameter!$C$33-X56)</f>
        <v/>
      </c>
      <c r="AA56" s="40">
        <f>MAX(0,H56-L56-Parameter!$C$32*F56-Parameter!$C$33-Y56)</f>
        <v/>
      </c>
      <c r="AB56" s="40">
        <f>MAX(0,(Z56+IF(Eingaben!$C$14=3,Eingaben!$C$15,0))/Parameter!$C$57/F56)</f>
        <v/>
      </c>
      <c r="AC56" s="40">
        <f>Parameter!$C$57*F56*(IF(AB56&lt;=Parameter!$C$18,0,IF(AB56&lt;=Parameter!$C$19,(Parameter!$C$22*(AB56-Parameter!$C$18)/10000+Parameter!$C$23)*(AB56-Parameter!$C$18)/10000,IF(AB56&lt;=Parameter!$C$20,(Parameter!$C$24*(AB56-Parameter!$C$19)/10000+Parameter!$C$25)*(AB56-Parameter!$C$19)/10000+Parameter!$C$26,IF(AB56&lt;=Parameter!$C$21,0.42*AB56-Parameter!$C$27,0.45*AB56-Parameter!$C$28)))))</f>
        <v/>
      </c>
      <c r="AD56" s="40">
        <f>AC56+IF(AC56&lt;=(Parameter!$C$30*Parameter!$C$57*F56),0,MIN(Parameter!$C$29*AC56,Parameter!$C$31*(AC56-(Parameter!$C$30*Parameter!$C$57*F56))))+Eingaben!$C$16*AC56</f>
        <v/>
      </c>
      <c r="AE56" s="40">
        <f>MAX(0,(AA56+IF(Eingaben!$C$14=3,Eingaben!$C$15,0))/Parameter!$C$57/F56)</f>
        <v/>
      </c>
      <c r="AF56" s="40">
        <f>Parameter!$C$57*F56*(IF(AE56&lt;=Parameter!$C$18,0,IF(AE56&lt;=Parameter!$C$19,(Parameter!$C$22*(AE56-Parameter!$C$18)/10000+Parameter!$C$23)*(AE56-Parameter!$C$18)/10000,IF(AE56&lt;=Parameter!$C$20,(Parameter!$C$24*(AE56-Parameter!$C$19)/10000+Parameter!$C$25)*(AE56-Parameter!$C$19)/10000+Parameter!$C$26,IF(AE56&lt;=Parameter!$C$21,0.42*AE56-Parameter!$C$27,0.45*AE56-Parameter!$C$28)))))</f>
        <v/>
      </c>
      <c r="AG56" s="40">
        <f>AF56+IF(AF56&lt;=(Parameter!$C$30*Parameter!$C$57*F56),0,MIN(Parameter!$C$29*AF56,Parameter!$C$31*(AF56-(Parameter!$C$30*Parameter!$C$57*F56))))+Eingaben!$C$16*AF56</f>
        <v/>
      </c>
      <c r="AH56" s="40">
        <f>AD56-AG56</f>
        <v/>
      </c>
      <c r="AI56" s="40">
        <f>MAX(0,K56-V56-AH56)</f>
        <v/>
      </c>
      <c r="AJ56" s="40">
        <f>MIN(AI56,Parameter!$C$49)</f>
        <v/>
      </c>
      <c r="AK56" s="40">
        <f>Parameter!$C$44*MIN(AJ56,Parameter!$C$45)+Parameter!$C$46*MAX(0,MIN(AJ56,Parameter!$C$47)-Parameter!$C$45)</f>
        <v/>
      </c>
      <c r="AL56" s="40">
        <f>MIN(AJ56,Parameter!$C$48)*Eingaben!$C$18*IF(48&lt;Eingaben!$C$19,1,0)</f>
        <v/>
      </c>
      <c r="AM56" s="40">
        <f>MIN(AK56+AL56,MAX(0,Parameter!$C$49-AJ56))</f>
        <v/>
      </c>
      <c r="AN56" s="40">
        <f>MIN(MIN(AJ56,Parameter!$C$47)+AM56,Parameter!$C$50)</f>
        <v/>
      </c>
      <c r="AO56" s="40">
        <f>MAX(0,Z56-AN56)</f>
        <v/>
      </c>
      <c r="AP56" s="40">
        <f>MAX(0,(AO56+IF(Eingaben!$C$14=3,Eingaben!$C$15,0))/Parameter!$C$57/F56)</f>
        <v/>
      </c>
      <c r="AQ56" s="40">
        <f>Parameter!$C$57*F56*(IF(AP56&lt;=Parameter!$C$18,0,IF(AP56&lt;=Parameter!$C$19,(Parameter!$C$22*(AP56-Parameter!$C$18)/10000+Parameter!$C$23)*(AP56-Parameter!$C$18)/10000,IF(AP56&lt;=Parameter!$C$20,(Parameter!$C$24*(AP56-Parameter!$C$19)/10000+Parameter!$C$25)*(AP56-Parameter!$C$19)/10000+Parameter!$C$26,IF(AP56&lt;=Parameter!$C$21,0.42*AP56-Parameter!$C$27,0.45*AP56-Parameter!$C$28)))))</f>
        <v/>
      </c>
      <c r="AR56" s="40">
        <f>AQ56+IF(AQ56&lt;=(Parameter!$C$30*Parameter!$C$57*F56),0,MIN(Parameter!$C$29*AQ56,Parameter!$C$31*(AQ56-(Parameter!$C$30*Parameter!$C$57*F56))))+Eingaben!$C$16*AQ56</f>
        <v/>
      </c>
      <c r="AS56" s="40">
        <f>AD56-AR56</f>
        <v/>
      </c>
      <c r="AT56" s="40">
        <f>MAX(0,AS56-AM56)</f>
        <v/>
      </c>
      <c r="AU56" s="40">
        <f>MIN(AJ56,Parameter!$C$47)+AM56</f>
        <v/>
      </c>
      <c r="AV56" s="40">
        <f>MAX(0,AJ56-Parameter!$C$47)+AT55</f>
        <v/>
      </c>
      <c r="AW56" s="40">
        <f>MAX(0,AI56-Parameter!$C$49)</f>
        <v/>
      </c>
      <c r="AX56" s="40">
        <f>AI56</f>
        <v/>
      </c>
      <c r="AY56" s="40">
        <f>IF(D56=0,AY55,AY55*(1+Parameter!$C$60)+R56*(1+Parameter!$C$60)^0.5)</f>
        <v/>
      </c>
      <c r="AZ56" s="40">
        <f>IF(D56=0,AZ55,AZ55*(1+Parameter!$C$60)+S56*(1+Parameter!$C$60)^0.5)</f>
        <v/>
      </c>
      <c r="BA56" s="40">
        <f>IF(D56=0,BA55,BA55*(1+Parameter!$C$61)+AU56*(1+Parameter!$C$61)^0.5)</f>
        <v/>
      </c>
      <c r="BB56" s="40">
        <f>IF(D56=0,BB55,BB55*(1+Parameter!$C$61)+AV56*(1+Parameter!$C$61)^0.5)</f>
        <v/>
      </c>
      <c r="BC56" s="40">
        <f>IF(D56=0,BC55,BC55*(1+Parameter!$C$62)+AW56*(1+Parameter!$C$62)^0.5-BF56)</f>
        <v/>
      </c>
      <c r="BD56" s="40">
        <f>IF(D56=0,BD55,BD55+AW56+BE56)</f>
        <v/>
      </c>
      <c r="BE56" s="40">
        <f>MAX(0,MIN(BC55*(1+Parameter!$C$62)+AW56*(1+Parameter!$C$62)^0.5-BC55-AW56,BC55*Parameter!$C$39*Parameter!$C$40))</f>
        <v/>
      </c>
      <c r="BF56" s="40">
        <f>MAX(0,BE56*(1-Parameter!$C$37)-Parameter!$C$67)*Parameter!$C$36</f>
        <v/>
      </c>
      <c r="BG56" s="40">
        <f>IF(D56=0,BG55,BG55*(1+Parameter!$C$62)+AX56*(1+Parameter!$C$62)^0.5-BJ56)</f>
        <v/>
      </c>
      <c r="BH56" s="40">
        <f>IF(D56=0,BH55,BH55+AX56+BI56)</f>
        <v/>
      </c>
      <c r="BI56" s="40">
        <f>MAX(0,MIN(BG55*(1+Parameter!$C$62)+AX56*(1+Parameter!$C$62)^0.5-BG55-AX56,BG55*Parameter!$C$39*Parameter!$C$40))</f>
        <v/>
      </c>
      <c r="BJ56" s="40">
        <f>MAX(0,BI56*(1-Parameter!$C$37)-Parameter!$C$67)*Parameter!$C$36</f>
        <v/>
      </c>
      <c r="BK56" s="38">
        <f>T56/(Parameter!$C$8*E56)</f>
        <v/>
      </c>
      <c r="BL56" s="38">
        <f>BL55+BK56</f>
        <v/>
      </c>
    </row>
    <row r="57">
      <c r="A57" s="32">
        <f>2026+49</f>
        <v/>
      </c>
      <c r="B57" s="32">
        <f>Eingaben!$C$5+49</f>
        <v/>
      </c>
      <c r="C57" s="32">
        <f>IF(AND(B57&lt;Eingaben!$C$8,B57&lt;Eingaben!$C$6),1,0)</f>
        <v/>
      </c>
      <c r="D57" s="32">
        <f>IF(B57&lt;Eingaben!$C$6,1,0)</f>
        <v/>
      </c>
      <c r="E57" s="41">
        <f>(1+Eingaben!$C$13)^49</f>
        <v/>
      </c>
      <c r="F57" s="41">
        <f>(1+Eingaben!$C$17)^49</f>
        <v/>
      </c>
      <c r="G57" s="42">
        <f>IF(B57&gt;=Eingaben!$C$9,Eingaben!$C$10,1)</f>
        <v/>
      </c>
      <c r="H57" s="43">
        <f>Eingaben!$C$12*E57*G57*C57</f>
        <v/>
      </c>
      <c r="I57" s="43">
        <f>Parameter!$C$4*E57</f>
        <v/>
      </c>
      <c r="J57" s="43">
        <f>Parameter!$C$5*E57</f>
        <v/>
      </c>
      <c r="K57" s="43">
        <f>MIN(H57,12*(IF(Eingaben!$C$22=2,Umrechnung!$C$54,Eingaben!$C$23))*IF(Eingaben!$C$25=1,E57,1))*C57</f>
        <v/>
      </c>
      <c r="L57" s="43">
        <f>MIN(K57,MAX(0,Parameter!$C$42*I57-P57))</f>
        <v/>
      </c>
      <c r="M57" s="43">
        <f>MIN(K57,MAX(0,Parameter!$C$43*I57-N57))</f>
        <v/>
      </c>
      <c r="N57" s="43">
        <f>C57*IF(K57/12+0.000000001&lt;Eingaben!$C$29,0,12*Eingaben!$C$27*IF(Eingaben!$C$28=1,E57,1))</f>
        <v/>
      </c>
      <c r="O57" s="43">
        <f>IF(Eingaben!$C$30=2,MIN(Eingaben!$C$26*K57,W57),Eingaben!$C$26*IF(Eingaben!$C$30=1,M57,K57))</f>
        <v/>
      </c>
      <c r="P57" s="43">
        <f>O57+N57</f>
        <v/>
      </c>
      <c r="Q57" s="43">
        <f>K57+P57</f>
        <v/>
      </c>
      <c r="R57" s="43">
        <f>MIN(Q57,Parameter!$C$42*I57)</f>
        <v/>
      </c>
      <c r="S57" s="43">
        <f>Q57-R57</f>
        <v/>
      </c>
      <c r="T57" s="43">
        <f>MIN(H57,I57)-MIN(H57-M57,I57)</f>
        <v/>
      </c>
      <c r="U57" s="43">
        <f>MIN(H57,J57)-MIN(H57-M57,J57)</f>
        <v/>
      </c>
      <c r="V57" s="43">
        <f>T57*(Parameter!$C$10+Parameter!$C$11)+U57*((Parameter!$C$12+Parameter!$C$13)/2+Parameter!$C$58)</f>
        <v/>
      </c>
      <c r="W57" s="43">
        <f>T57*(Parameter!$C$10+Parameter!$C$11)+U57*((Parameter!$C$12+Parameter!$C$13)/2+Parameter!$C$15)</f>
        <v/>
      </c>
      <c r="X57" s="43">
        <f>MIN(H57,I57)*Parameter!$C$10+MIN(H57,J57)*(0.96*(Parameter!$C$12+Parameter!$C$13)/2+Parameter!$C$58)</f>
        <v/>
      </c>
      <c r="Y57" s="43">
        <f>MIN(H57-M57,I57)*Parameter!$C$10+MIN(H57-M57,J57)*(0.96*(Parameter!$C$12+Parameter!$C$13)/2+Parameter!$C$58)</f>
        <v/>
      </c>
      <c r="Z57" s="43">
        <f>MAX(0,H57-Parameter!$C$32*F57-Parameter!$C$33-X57)</f>
        <v/>
      </c>
      <c r="AA57" s="43">
        <f>MAX(0,H57-L57-Parameter!$C$32*F57-Parameter!$C$33-Y57)</f>
        <v/>
      </c>
      <c r="AB57" s="43">
        <f>MAX(0,(Z57+IF(Eingaben!$C$14=3,Eingaben!$C$15,0))/Parameter!$C$57/F57)</f>
        <v/>
      </c>
      <c r="AC57" s="43">
        <f>Parameter!$C$57*F57*(IF(AB57&lt;=Parameter!$C$18,0,IF(AB57&lt;=Parameter!$C$19,(Parameter!$C$22*(AB57-Parameter!$C$18)/10000+Parameter!$C$23)*(AB57-Parameter!$C$18)/10000,IF(AB57&lt;=Parameter!$C$20,(Parameter!$C$24*(AB57-Parameter!$C$19)/10000+Parameter!$C$25)*(AB57-Parameter!$C$19)/10000+Parameter!$C$26,IF(AB57&lt;=Parameter!$C$21,0.42*AB57-Parameter!$C$27,0.45*AB57-Parameter!$C$28)))))</f>
        <v/>
      </c>
      <c r="AD57" s="43">
        <f>AC57+IF(AC57&lt;=(Parameter!$C$30*Parameter!$C$57*F57),0,MIN(Parameter!$C$29*AC57,Parameter!$C$31*(AC57-(Parameter!$C$30*Parameter!$C$57*F57))))+Eingaben!$C$16*AC57</f>
        <v/>
      </c>
      <c r="AE57" s="43">
        <f>MAX(0,(AA57+IF(Eingaben!$C$14=3,Eingaben!$C$15,0))/Parameter!$C$57/F57)</f>
        <v/>
      </c>
      <c r="AF57" s="43">
        <f>Parameter!$C$57*F57*(IF(AE57&lt;=Parameter!$C$18,0,IF(AE57&lt;=Parameter!$C$19,(Parameter!$C$22*(AE57-Parameter!$C$18)/10000+Parameter!$C$23)*(AE57-Parameter!$C$18)/10000,IF(AE57&lt;=Parameter!$C$20,(Parameter!$C$24*(AE57-Parameter!$C$19)/10000+Parameter!$C$25)*(AE57-Parameter!$C$19)/10000+Parameter!$C$26,IF(AE57&lt;=Parameter!$C$21,0.42*AE57-Parameter!$C$27,0.45*AE57-Parameter!$C$28)))))</f>
        <v/>
      </c>
      <c r="AG57" s="43">
        <f>AF57+IF(AF57&lt;=(Parameter!$C$30*Parameter!$C$57*F57),0,MIN(Parameter!$C$29*AF57,Parameter!$C$31*(AF57-(Parameter!$C$30*Parameter!$C$57*F57))))+Eingaben!$C$16*AF57</f>
        <v/>
      </c>
      <c r="AH57" s="43">
        <f>AD57-AG57</f>
        <v/>
      </c>
      <c r="AI57" s="43">
        <f>MAX(0,K57-V57-AH57)</f>
        <v/>
      </c>
      <c r="AJ57" s="43">
        <f>MIN(AI57,Parameter!$C$49)</f>
        <v/>
      </c>
      <c r="AK57" s="43">
        <f>Parameter!$C$44*MIN(AJ57,Parameter!$C$45)+Parameter!$C$46*MAX(0,MIN(AJ57,Parameter!$C$47)-Parameter!$C$45)</f>
        <v/>
      </c>
      <c r="AL57" s="43">
        <f>MIN(AJ57,Parameter!$C$48)*Eingaben!$C$18*IF(49&lt;Eingaben!$C$19,1,0)</f>
        <v/>
      </c>
      <c r="AM57" s="43">
        <f>MIN(AK57+AL57,MAX(0,Parameter!$C$49-AJ57))</f>
        <v/>
      </c>
      <c r="AN57" s="43">
        <f>MIN(MIN(AJ57,Parameter!$C$47)+AM57,Parameter!$C$50)</f>
        <v/>
      </c>
      <c r="AO57" s="43">
        <f>MAX(0,Z57-AN57)</f>
        <v/>
      </c>
      <c r="AP57" s="43">
        <f>MAX(0,(AO57+IF(Eingaben!$C$14=3,Eingaben!$C$15,0))/Parameter!$C$57/F57)</f>
        <v/>
      </c>
      <c r="AQ57" s="43">
        <f>Parameter!$C$57*F57*(IF(AP57&lt;=Parameter!$C$18,0,IF(AP57&lt;=Parameter!$C$19,(Parameter!$C$22*(AP57-Parameter!$C$18)/10000+Parameter!$C$23)*(AP57-Parameter!$C$18)/10000,IF(AP57&lt;=Parameter!$C$20,(Parameter!$C$24*(AP57-Parameter!$C$19)/10000+Parameter!$C$25)*(AP57-Parameter!$C$19)/10000+Parameter!$C$26,IF(AP57&lt;=Parameter!$C$21,0.42*AP57-Parameter!$C$27,0.45*AP57-Parameter!$C$28)))))</f>
        <v/>
      </c>
      <c r="AR57" s="43">
        <f>AQ57+IF(AQ57&lt;=(Parameter!$C$30*Parameter!$C$57*F57),0,MIN(Parameter!$C$29*AQ57,Parameter!$C$31*(AQ57-(Parameter!$C$30*Parameter!$C$57*F57))))+Eingaben!$C$16*AQ57</f>
        <v/>
      </c>
      <c r="AS57" s="43">
        <f>AD57-AR57</f>
        <v/>
      </c>
      <c r="AT57" s="43">
        <f>MAX(0,AS57-AM57)</f>
        <v/>
      </c>
      <c r="AU57" s="43">
        <f>MIN(AJ57,Parameter!$C$47)+AM57</f>
        <v/>
      </c>
      <c r="AV57" s="43">
        <f>MAX(0,AJ57-Parameter!$C$47)+AT56</f>
        <v/>
      </c>
      <c r="AW57" s="43">
        <f>MAX(0,AI57-Parameter!$C$49)</f>
        <v/>
      </c>
      <c r="AX57" s="43">
        <f>AI57</f>
        <v/>
      </c>
      <c r="AY57" s="43">
        <f>IF(D57=0,AY56,AY56*(1+Parameter!$C$60)+R57*(1+Parameter!$C$60)^0.5)</f>
        <v/>
      </c>
      <c r="AZ57" s="43">
        <f>IF(D57=0,AZ56,AZ56*(1+Parameter!$C$60)+S57*(1+Parameter!$C$60)^0.5)</f>
        <v/>
      </c>
      <c r="BA57" s="43">
        <f>IF(D57=0,BA56,BA56*(1+Parameter!$C$61)+AU57*(1+Parameter!$C$61)^0.5)</f>
        <v/>
      </c>
      <c r="BB57" s="43">
        <f>IF(D57=0,BB56,BB56*(1+Parameter!$C$61)+AV57*(1+Parameter!$C$61)^0.5)</f>
        <v/>
      </c>
      <c r="BC57" s="43">
        <f>IF(D57=0,BC56,BC56*(1+Parameter!$C$62)+AW57*(1+Parameter!$C$62)^0.5-BF57)</f>
        <v/>
      </c>
      <c r="BD57" s="43">
        <f>IF(D57=0,BD56,BD56+AW57+BE57)</f>
        <v/>
      </c>
      <c r="BE57" s="43">
        <f>MAX(0,MIN(BC56*(1+Parameter!$C$62)+AW57*(1+Parameter!$C$62)^0.5-BC56-AW57,BC56*Parameter!$C$39*Parameter!$C$40))</f>
        <v/>
      </c>
      <c r="BF57" s="43">
        <f>MAX(0,BE57*(1-Parameter!$C$37)-Parameter!$C$67)*Parameter!$C$36</f>
        <v/>
      </c>
      <c r="BG57" s="43">
        <f>IF(D57=0,BG56,BG56*(1+Parameter!$C$62)+AX57*(1+Parameter!$C$62)^0.5-BJ57)</f>
        <v/>
      </c>
      <c r="BH57" s="43">
        <f>IF(D57=0,BH56,BH56+AX57+BI57)</f>
        <v/>
      </c>
      <c r="BI57" s="43">
        <f>MAX(0,MIN(BG56*(1+Parameter!$C$62)+AX57*(1+Parameter!$C$62)^0.5-BG56-AX57,BG56*Parameter!$C$39*Parameter!$C$40))</f>
        <v/>
      </c>
      <c r="BJ57" s="43">
        <f>MAX(0,BI57*(1-Parameter!$C$37)-Parameter!$C$67)*Parameter!$C$36</f>
        <v/>
      </c>
      <c r="BK57" s="41">
        <f>T57/(Parameter!$C$8*E57)</f>
        <v/>
      </c>
      <c r="BL57" s="41">
        <f>BL56+BK57</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G41"/>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8" customWidth="1" min="1" max="1"/>
    <col width="7" customWidth="1" min="2" max="2"/>
    <col width="8" customWidth="1" min="3" max="3"/>
    <col width="8" customWidth="1" min="4" max="4"/>
    <col width="8" customWidth="1" min="5" max="5"/>
    <col width="6" customWidth="1" min="6" max="6"/>
    <col width="11" customWidth="1" min="7" max="7"/>
    <col width="11" customWidth="1" min="8" max="8"/>
    <col width="11" customWidth="1" min="9" max="9"/>
    <col width="11" customWidth="1" min="10" max="10"/>
    <col width="12" customWidth="1" min="11" max="11"/>
    <col width="12" customWidth="1" min="12" max="12"/>
    <col width="12" customWidth="1" min="13" max="13"/>
    <col width="12" customWidth="1" min="14" max="14"/>
    <col width="12" customWidth="1" min="15" max="15"/>
    <col width="12" customWidth="1" min="16" max="16"/>
    <col width="12" customWidth="1" min="17" max="17"/>
    <col width="11" customWidth="1" min="18" max="18"/>
    <col width="11" customWidth="1" min="19" max="19"/>
    <col width="11" customWidth="1" min="20" max="20"/>
    <col width="12" customWidth="1" min="21" max="21"/>
    <col width="13" customWidth="1" min="22" max="22"/>
    <col width="12" customWidth="1" min="23" max="23"/>
    <col width="11" customWidth="1" min="24" max="24"/>
    <col width="11" customWidth="1" min="25" max="25"/>
    <col width="11" customWidth="1" min="26" max="26"/>
    <col width="11" customWidth="1" min="27" max="27"/>
    <col width="12" customWidth="1" min="28" max="28"/>
    <col width="11" customWidth="1" min="29" max="29"/>
    <col width="11" customWidth="1" min="30" max="30"/>
    <col width="11" customWidth="1" min="31" max="31"/>
    <col width="12" customWidth="1" min="32" max="32"/>
    <col width="13" customWidth="1" min="33" max="33"/>
    <col width="12" customWidth="1" min="34" max="34"/>
    <col width="11" customWidth="1" min="35" max="35"/>
    <col width="12" customWidth="1" min="36" max="36"/>
    <col width="11" customWidth="1" min="37" max="37"/>
    <col width="11" customWidth="1" min="38" max="38"/>
    <col width="11" customWidth="1" min="39" max="39"/>
    <col width="11" customWidth="1" min="40" max="40"/>
    <col width="12" customWidth="1" min="41" max="41"/>
    <col width="12" customWidth="1" min="42" max="42"/>
    <col width="14" customWidth="1" min="43" max="43"/>
    <col width="12" customWidth="1" min="44" max="44"/>
    <col width="11" customWidth="1" min="45" max="45"/>
    <col width="11" customWidth="1" min="46" max="46"/>
    <col width="11" customWidth="1" min="47" max="47"/>
    <col width="11" customWidth="1" min="48" max="48"/>
    <col width="13" customWidth="1" min="49" max="49"/>
    <col width="12" customWidth="1" min="50" max="50"/>
    <col width="12" customWidth="1" min="51" max="51"/>
    <col width="12" customWidth="1" min="52" max="52"/>
    <col width="12" customWidth="1" min="53" max="53"/>
    <col width="11" customWidth="1" min="54" max="54"/>
    <col width="13" customWidth="1" min="55" max="55"/>
    <col width="9" customWidth="1" min="56" max="56"/>
    <col width="14" customWidth="1" min="57" max="57"/>
    <col width="12" customWidth="1" min="58" max="58"/>
  </cols>
  <sheetData>
    <row r="1">
      <c r="A1" s="1" t="inlineStr">
        <is>
          <t>Auszahlungsphase</t>
        </is>
      </c>
    </row>
    <row r="2">
      <c r="A2" s="36" t="inlineStr">
        <is>
          <t>Alle drei Optionen sind Alternativen zueinander - die Spalten NETTO ... sind daher nebeneinander, nicht additiv zu lesen. Bei der bAV ist der Verlust an gesetzlicher Rente bereits abgezogen.</t>
        </is>
      </c>
    </row>
    <row r="4">
      <c r="CE4" s="13" t="inlineStr">
        <is>
          <t>Annuitaetenfaktor Altersvorsorgedepot</t>
        </is>
      </c>
      <c r="CG4" s="44">
        <f>IF(Parameter!$C$61=0,1/Parameter!$C$64,Parameter!$C$61/(1-(1+Parameter!$C$61)^(-Parameter!$C$64)))</f>
        <v/>
      </c>
    </row>
    <row r="5">
      <c r="CE5" s="13" t="inlineStr">
        <is>
          <t>Annuitaetenfaktor privates Depot</t>
        </is>
      </c>
      <c r="CG5" s="44">
        <f>IF(Parameter!$C$62=0,1/Parameter!$C$64,Parameter!$C$62/(1-(1+Parameter!$C$62)^(-Parameter!$C$64)))</f>
        <v/>
      </c>
    </row>
    <row r="7" ht="40" customHeight="1">
      <c r="A7" s="37" t="inlineStr">
        <is>
          <t>Kalender-
jahr</t>
        </is>
      </c>
      <c r="B7" s="37" t="inlineStr">
        <is>
          <t>Alter</t>
        </is>
      </c>
      <c r="C7" s="37" t="inlineStr">
        <is>
          <t>Jahr t seit
heute</t>
        </is>
      </c>
      <c r="D7" s="37" t="inlineStr">
        <is>
          <t>Tarif-
index L</t>
        </is>
      </c>
      <c r="E7" s="37" t="inlineStr">
        <is>
          <t>Lohn-
index</t>
        </is>
      </c>
      <c r="F7" s="37" t="inlineStr">
        <is>
          <t>Plan
aktiv</t>
        </is>
      </c>
      <c r="G7" s="37" t="inlineStr">
        <is>
          <t>sonstiges
zvE</t>
        </is>
      </c>
      <c r="H7" s="37" t="inlineStr">
        <is>
          <t>Tarifarg.
Basis</t>
        </is>
      </c>
      <c r="I7" s="37" t="inlineStr">
        <is>
          <t>ESt Basis</t>
        </is>
      </c>
      <c r="J7" s="37" t="inlineStr">
        <is>
          <t>Steuer ges.
Basis</t>
        </is>
      </c>
      <c r="K7" s="37" t="inlineStr">
        <is>
          <t>bAV Zufluss
gefoerdert</t>
        </is>
      </c>
      <c r="L7" s="37" t="inlineStr">
        <is>
          <t>bAV Zufluss
nicht gefoerd.</t>
        </is>
      </c>
      <c r="M7" s="37" t="inlineStr">
        <is>
          <t>bAV Brutto-
zufluss gesamt</t>
        </is>
      </c>
      <c r="N7" s="37" t="inlineStr">
        <is>
          <t>davon steuer-
pflichtig</t>
        </is>
      </c>
      <c r="O7" s="37" t="inlineStr">
        <is>
          <t>Versorgungs-
bezug/Monat</t>
        </is>
      </c>
      <c r="P7" s="37" t="inlineStr">
        <is>
          <t>gesetzl. Rente
/Monat</t>
        </is>
      </c>
      <c r="Q7" s="37" t="inlineStr">
        <is>
          <t>VB beitrags-
pflichtig (BBG)</t>
        </is>
      </c>
      <c r="R7" s="37" t="inlineStr">
        <is>
          <t>KV auf bAV</t>
        </is>
      </c>
      <c r="S7" s="37" t="inlineStr">
        <is>
          <t>PV auf bAV</t>
        </is>
      </c>
      <c r="T7" s="37" t="inlineStr">
        <is>
          <t>KV+PV
auf bAV</t>
        </is>
      </c>
      <c r="U7" s="37" t="inlineStr">
        <is>
          <t>Rentenminde-
rung brutto</t>
        </is>
      </c>
      <c r="V7" s="37" t="inlineStr">
        <is>
          <t>Rentenminderung
steuerpflichtig</t>
        </is>
      </c>
      <c r="W7" s="37" t="inlineStr">
        <is>
          <t>KV+PV-Erspar-
nis Rente</t>
        </is>
      </c>
      <c r="X7" s="37" t="inlineStr">
        <is>
          <t>zvE Option
bAV</t>
        </is>
      </c>
      <c r="Y7" s="37" t="inlineStr">
        <is>
          <t>Tarifarg.
bAV</t>
        </is>
      </c>
      <c r="Z7" s="37" t="inlineStr">
        <is>
          <t>ESt bAV</t>
        </is>
      </c>
      <c r="AA7" s="37" t="inlineStr">
        <is>
          <t>Steuer ges.
bAV</t>
        </is>
      </c>
      <c r="AB7" s="37" t="inlineStr">
        <is>
          <t>zvE Fuenftel-
regelung</t>
        </is>
      </c>
      <c r="AC7" s="37" t="inlineStr">
        <is>
          <t>Tarifarg.
Fuenftel</t>
        </is>
      </c>
      <c r="AD7" s="37" t="inlineStr">
        <is>
          <t>ESt Fuenftel</t>
        </is>
      </c>
      <c r="AE7" s="37" t="inlineStr">
        <is>
          <t>Steuer ges.
Fuenftel</t>
        </is>
      </c>
      <c r="AF7" s="37" t="inlineStr">
        <is>
          <t>STEUER auf
bAV (netto)</t>
        </is>
      </c>
      <c r="AG7" s="37" t="inlineStr">
        <is>
          <t>NETTO bAV
(nach Renten-
minderung)</t>
        </is>
      </c>
      <c r="AH7" s="37" t="inlineStr">
        <is>
          <t>AV gefoerdert
Stand</t>
        </is>
      </c>
      <c r="AI7" s="37" t="inlineStr">
        <is>
          <t>Entnahme
gefoerdert</t>
        </is>
      </c>
      <c r="AJ7" s="37" t="inlineStr">
        <is>
          <t>AV nicht gef.
Stand</t>
        </is>
      </c>
      <c r="AK7" s="37" t="inlineStr">
        <is>
          <t>Entnahme
nicht gef.</t>
        </is>
      </c>
      <c r="AL7" s="37" t="inlineStr">
        <is>
          <t>Sleeve
Stand</t>
        </is>
      </c>
      <c r="AM7" s="37" t="inlineStr">
        <is>
          <t>Sleeve
Entnahme</t>
        </is>
      </c>
      <c r="AN7" s="37" t="inlineStr">
        <is>
          <t>Sleeve
Steuer</t>
        </is>
      </c>
      <c r="AO7" s="37" t="inlineStr">
        <is>
          <t>davon Kapital
(nicht gef.)</t>
        </is>
      </c>
      <c r="AP7" s="37" t="inlineStr">
        <is>
          <t>davon Rente
(nicht gef.)</t>
        </is>
      </c>
      <c r="AQ7" s="37" t="inlineStr">
        <is>
          <t>MEMO AV-Rente
nach dem Horizont</t>
        </is>
      </c>
      <c r="AR7" s="37" t="inlineStr">
        <is>
          <t>steuerpfl.
AV-Entnahme</t>
        </is>
      </c>
      <c r="AS7" s="37" t="inlineStr">
        <is>
          <t>zvE Option
AV-Depot</t>
        </is>
      </c>
      <c r="AT7" s="37" t="inlineStr">
        <is>
          <t>Tarifarg.
AV</t>
        </is>
      </c>
      <c r="AU7" s="37" t="inlineStr">
        <is>
          <t>ESt AV</t>
        </is>
      </c>
      <c r="AV7" s="37" t="inlineStr">
        <is>
          <t>Steuer ges.
AV</t>
        </is>
      </c>
      <c r="AW7" s="37" t="inlineStr">
        <is>
          <t>NETTO Alters-
vorsorgedepot</t>
        </is>
      </c>
      <c r="AX7" s="37" t="inlineStr">
        <is>
          <t>Privatdepot
Stand</t>
        </is>
      </c>
      <c r="AY7" s="37" t="inlineStr">
        <is>
          <t>Kostenbasis
Stand</t>
        </is>
      </c>
      <c r="AZ7" s="37" t="inlineStr">
        <is>
          <t>Entnahme
Privatdepot</t>
        </is>
      </c>
      <c r="BA7" s="37" t="inlineStr">
        <is>
          <t>Gewinnanteil
der Entnahme</t>
        </is>
      </c>
      <c r="BB7" s="37" t="inlineStr">
        <is>
          <t>Abgeltung-
steuer</t>
        </is>
      </c>
      <c r="BC7" s="37" t="inlineStr">
        <is>
          <t>NETTO privates
ETF-Depot</t>
        </is>
      </c>
      <c r="BD7" s="37" t="inlineStr">
        <is>
          <t>Diskont-
faktor</t>
        </is>
      </c>
      <c r="BE7" s="37" t="inlineStr">
        <is>
          <t>MEMO bAV-Rente
nach dem Horizont</t>
        </is>
      </c>
      <c r="BF7" s="37" t="inlineStr">
        <is>
          <t>Abzinsung auf
Rentenbeginn</t>
        </is>
      </c>
      <c r="CE7" s="13" t="inlineStr">
        <is>
          <t>Summe nicht gefoerderter Eigenbeitraege (Anschaffungskosten)</t>
        </is>
      </c>
      <c r="CG7" s="45">
        <f>SUM(Ansparphase!$AV$8:$AV$57)</f>
        <v/>
      </c>
    </row>
    <row r="8">
      <c r="A8" s="30">
        <f>2026+C8</f>
        <v/>
      </c>
      <c r="B8" s="30">
        <f>Eingaben!$C$6+0</f>
        <v/>
      </c>
      <c r="C8" s="30">
        <f>B8-Eingaben!$C$5</f>
        <v/>
      </c>
      <c r="D8" s="38">
        <f>(1+Eingaben!$C$17)^C8</f>
        <v/>
      </c>
      <c r="E8" s="38">
        <f>(1+Eingaben!$C$13)^C8</f>
        <v/>
      </c>
      <c r="F8" s="30">
        <f>IF(B8&lt;=Eingaben!$C$7,1,0)</f>
        <v/>
      </c>
      <c r="G8" s="40">
        <f>Eingaben!$C$43*(1+Eingaben!$C$40)^C8</f>
        <v/>
      </c>
      <c r="H8" s="40">
        <f>MAX(0,(G8+IF(Eingaben!$C$14=3,Eingaben!$C$15,0))/Parameter!$C$57/D8)</f>
        <v/>
      </c>
      <c r="I8" s="40">
        <f>Parameter!$C$57*D8*(IF(H8&lt;=Parameter!$C$18,0,IF(H8&lt;=Parameter!$C$19,(Parameter!$C$22*(H8-Parameter!$C$18)/10000+Parameter!$C$23)*(H8-Parameter!$C$18)/10000,IF(H8&lt;=Parameter!$C$20,(Parameter!$C$24*(H8-Parameter!$C$19)/10000+Parameter!$C$25)*(H8-Parameter!$C$19)/10000+Parameter!$C$26,IF(H8&lt;=Parameter!$C$21,0.42*H8-Parameter!$C$27,0.45*H8-Parameter!$C$28)))))</f>
        <v/>
      </c>
      <c r="J8" s="40">
        <f>I8+IF(I8&lt;=(Parameter!$C$30*Parameter!$C$57*D8),0,MIN(Parameter!$C$29*I8,Parameter!$C$31*(I8-(Parameter!$C$30*Parameter!$C$57*D8))))+Eingaben!$C$16*I8</f>
        <v/>
      </c>
      <c r="K8" s="40">
        <f>IF(Eingaben!$C$31=1,IF(1=1,Ansparphase!$AY$57,0),(Ansparphase!$AY$57+Ansparphase!$AZ$57)*Eingaben!$C$32/10000*12*(1+Eingaben!$C$33)^0*F8*IF((Ansparphase!$AY$57+Ansparphase!$AZ$57)=0,0,Ansparphase!$AY$57/(Ansparphase!$AY$57+Ansparphase!$AZ$57)))</f>
        <v/>
      </c>
      <c r="L8" s="40">
        <f>IF(Eingaben!$C$31=1,IF(1=1,Ansparphase!$AZ$57,0),(Ansparphase!$AY$57+Ansparphase!$AZ$57)*Eingaben!$C$32/10000*12*(1+Eingaben!$C$33)^0*F8*IF((Ansparphase!$AY$57+Ansparphase!$AZ$57)=0,0,Ansparphase!$AZ$57/(Ansparphase!$AY$57+Ansparphase!$AZ$57)))</f>
        <v/>
      </c>
      <c r="M8" s="40">
        <f>K8+L8</f>
        <v/>
      </c>
      <c r="N8" s="40">
        <f>K8+L8*IF(Eingaben!$C$31=1,(1-IF(Ansparphase!$AZ$57=0,1,MIN(1,$CG$8/Ansparphase!$AZ$57)))*Parameter!$C$52,Parameter!$C$51)</f>
        <v/>
      </c>
      <c r="O8" s="40">
        <f>IF(Eingaben!$C$31=1,IF(0&lt;10,(Ansparphase!$AY$57+Ansparphase!$AZ$57)/120,0),M8/12)</f>
        <v/>
      </c>
      <c r="P8" s="40">
        <f>Eingaben!$C$44/12*(1+Eingaben!$C$13)^C8</f>
        <v/>
      </c>
      <c r="Q8" s="40">
        <f>MAX(0,MIN(O8,Parameter!$C$5/12*E8-P8))</f>
        <v/>
      </c>
      <c r="R8" s="40">
        <f>IF(Eingaben!$C$42=2,0,MAX(0,Q8-Parameter!$C$7*E8)*Parameter!$C$54*12)</f>
        <v/>
      </c>
      <c r="S8" s="40">
        <f>IF(Eingaben!$C$42=2,0,IF(O8&gt;Parameter!$C$7*E8,Q8*Parameter!$C$59*12,0))</f>
        <v/>
      </c>
      <c r="T8" s="40">
        <f>R8+S8</f>
        <v/>
      </c>
      <c r="U8" s="40">
        <f>Ansparphase!$BL$57*Parameter!$C$9*12*(1+Eingaben!$C$13)^(Eingaben!$C$6-Eingaben!$C$5)*(1+Eingaben!$C$13)^0*F8</f>
        <v/>
      </c>
      <c r="V8" s="40">
        <f>U8*Parameter!$C$66</f>
        <v/>
      </c>
      <c r="W8" s="40">
        <f>IF(Eingaben!$C$42=2,0,U8*(Parameter!$C$53+Parameter!$C$59))</f>
        <v/>
      </c>
      <c r="X8" s="40">
        <f>MAX(0,G8-V8+N8-T8+W8)</f>
        <v/>
      </c>
      <c r="Y8" s="40">
        <f>MAX(0,(X8+IF(Eingaben!$C$14=3,Eingaben!$C$15,0))/Parameter!$C$57/D8)</f>
        <v/>
      </c>
      <c r="Z8" s="40">
        <f>Parameter!$C$57*D8*(IF(Y8&lt;=Parameter!$C$18,0,IF(Y8&lt;=Parameter!$C$19,(Parameter!$C$22*(Y8-Parameter!$C$18)/10000+Parameter!$C$23)*(Y8-Parameter!$C$18)/10000,IF(Y8&lt;=Parameter!$C$20,(Parameter!$C$24*(Y8-Parameter!$C$19)/10000+Parameter!$C$25)*(Y8-Parameter!$C$19)/10000+Parameter!$C$26,IF(Y8&lt;=Parameter!$C$21,0.42*Y8-Parameter!$C$27,0.45*Y8-Parameter!$C$28)))))</f>
        <v/>
      </c>
      <c r="AA8" s="40">
        <f>Z8+IF(Z8&lt;=(Parameter!$C$30*Parameter!$C$57*D8),0,MIN(Parameter!$C$29*Z8,Parameter!$C$31*(Z8-(Parameter!$C$30*Parameter!$C$57*D8))))+Eingaben!$C$16*Z8</f>
        <v/>
      </c>
      <c r="AB8" s="40">
        <f>MAX(0,G8-V8+N8/5-T8+W8)</f>
        <v/>
      </c>
      <c r="AC8" s="40">
        <f>MAX(0,(AB8+IF(Eingaben!$C$14=3,Eingaben!$C$15,0))/Parameter!$C$57/D8)</f>
        <v/>
      </c>
      <c r="AD8" s="40">
        <f>Parameter!$C$57*D8*(IF(AC8&lt;=Parameter!$C$18,0,IF(AC8&lt;=Parameter!$C$19,(Parameter!$C$22*(AC8-Parameter!$C$18)/10000+Parameter!$C$23)*(AC8-Parameter!$C$18)/10000,IF(AC8&lt;=Parameter!$C$20,(Parameter!$C$24*(AC8-Parameter!$C$19)/10000+Parameter!$C$25)*(AC8-Parameter!$C$19)/10000+Parameter!$C$26,IF(AC8&lt;=Parameter!$C$21,0.42*AC8-Parameter!$C$27,0.45*AC8-Parameter!$C$28)))))</f>
        <v/>
      </c>
      <c r="AE8" s="40">
        <f>AD8+IF(AD8&lt;=(Parameter!$C$30*Parameter!$C$57*D8),0,MIN(Parameter!$C$29*AD8,Parameter!$C$31*(AD8-(Parameter!$C$30*Parameter!$C$57*D8))))+Eingaben!$C$16*AD8</f>
        <v/>
      </c>
      <c r="AF8" s="40">
        <f>IF(AND(Eingaben!$C$34=1,Eingaben!$C$31=1,M8&gt;0),MIN(AA8-J8,5*(AE8-J8)),AA8-J8)</f>
        <v/>
      </c>
      <c r="AG8" s="40">
        <f>M8-T8-AF8-U8+W8</f>
        <v/>
      </c>
      <c r="AH8" s="40">
        <f>Ansparphase!$BA$57</f>
        <v/>
      </c>
      <c r="AI8" s="40">
        <f>IF(Eingaben!$C$46=1,IF(F8=0,0,MIN(AH8,Ansparphase!$BA$57*IF(0=0,Eingaben!$C$45,0)+(Ansparphase!$BA$57*(1-Eingaben!$C$45))*$CG$4)),Ansparphase!$BA$57*IF(0=0,Eingaben!$C$45,0)+(((Ansparphase!$BA$57*(1-Eingaben!$C$45))+(Ansparphase!$BB$57*(1-Eingaben!$C$45)))*Eingaben!$C$47/10000*12*(1+Eingaben!$C$48)^0*F8)*IF(((Ansparphase!$BA$57*(1-Eingaben!$C$45))+(Ansparphase!$BB$57*(1-Eingaben!$C$45)))=0,0,(Ansparphase!$BA$57*(1-Eingaben!$C$45))/((Ansparphase!$BA$57*(1-Eingaben!$C$45))+(Ansparphase!$BB$57*(1-Eingaben!$C$45)))))</f>
        <v/>
      </c>
      <c r="AJ8" s="40">
        <f>Ansparphase!$BB$57</f>
        <v/>
      </c>
      <c r="AK8" s="40">
        <f>AO8+AP8</f>
        <v/>
      </c>
      <c r="AL8" s="40">
        <f>Ansparphase!$BC$57</f>
        <v/>
      </c>
      <c r="AM8" s="40">
        <f>IF(F8=0,0,MIN(AL8,Ansparphase!$BC$57*$CG$5))</f>
        <v/>
      </c>
      <c r="AN8" s="40">
        <f>MAX(0,AM8*(1-IF(Ansparphase!$BC$57=0,1,MIN(1,Ansparphase!$BD$57/Ansparphase!$BC$57)))*(1-Parameter!$C$37))*Parameter!$C$36</f>
        <v/>
      </c>
      <c r="AO8" s="40">
        <f>IF(Eingaben!$C$46=1,IF(F8=0,0,MIN(AJ8,Ansparphase!$BB$57*IF(0=0,Eingaben!$C$45,0)+(Ansparphase!$BB$57*(1-Eingaben!$C$45))*$CG$4)),Ansparphase!$BB$57*IF(0=0,Eingaben!$C$45,0))</f>
        <v/>
      </c>
      <c r="AP8" s="40">
        <f>IF(Eingaben!$C$46=1,0,(((Ansparphase!$BA$57*(1-Eingaben!$C$45))+(Ansparphase!$BB$57*(1-Eingaben!$C$45)))*Eingaben!$C$47/10000*12*(1+Eingaben!$C$48)^0*F8)*IF(((Ansparphase!$BA$57*(1-Eingaben!$C$45))+(Ansparphase!$BB$57*(1-Eingaben!$C$45)))=0,0,(Ansparphase!$BB$57*(1-Eingaben!$C$45))/((Ansparphase!$BA$57*(1-Eingaben!$C$45))+(Ansparphase!$BB$57*(1-Eingaben!$C$45)))))</f>
        <v/>
      </c>
      <c r="AQ8" s="40">
        <f>IF(AND(Eingaben!$C$46=2,F8=0),((Ansparphase!$BA$57*(1-Eingaben!$C$45))+(Ansparphase!$BB$57*(1-Eingaben!$C$45)))*Eingaben!$C$47/10000*12*(1+Eingaben!$C$48)^0,0)</f>
        <v/>
      </c>
      <c r="AR8" s="40">
        <f>AI8+AO8*(1-IF(Ansparphase!$BB$57=0,1,MIN(1,$CG$7/Ansparphase!$BB$57)))*Parameter!$C$52+AP8*Parameter!$C$51</f>
        <v/>
      </c>
      <c r="AS8" s="40">
        <f>MAX(0,G8+AR8)</f>
        <v/>
      </c>
      <c r="AT8" s="40">
        <f>MAX(0,(AS8+IF(Eingaben!$C$14=3,Eingaben!$C$15,0))/Parameter!$C$57/D8)</f>
        <v/>
      </c>
      <c r="AU8" s="40">
        <f>Parameter!$C$57*D8*(IF(AT8&lt;=Parameter!$C$18,0,IF(AT8&lt;=Parameter!$C$19,(Parameter!$C$22*(AT8-Parameter!$C$18)/10000+Parameter!$C$23)*(AT8-Parameter!$C$18)/10000,IF(AT8&lt;=Parameter!$C$20,(Parameter!$C$24*(AT8-Parameter!$C$19)/10000+Parameter!$C$25)*(AT8-Parameter!$C$19)/10000+Parameter!$C$26,IF(AT8&lt;=Parameter!$C$21,0.42*AT8-Parameter!$C$27,0.45*AT8-Parameter!$C$28)))))</f>
        <v/>
      </c>
      <c r="AV8" s="40">
        <f>AU8+IF(AU8&lt;=(Parameter!$C$30*Parameter!$C$57*D8),0,MIN(Parameter!$C$29*AU8,Parameter!$C$31*(AU8-(Parameter!$C$30*Parameter!$C$57*D8))))+Eingaben!$C$16*AU8</f>
        <v/>
      </c>
      <c r="AW8" s="40">
        <f>AI8+AK8-(AV8-J8)+AM8-AN8</f>
        <v/>
      </c>
      <c r="AX8" s="40">
        <f>Ansparphase!$BG$57</f>
        <v/>
      </c>
      <c r="AY8" s="40">
        <f>Ansparphase!$BH$57</f>
        <v/>
      </c>
      <c r="AZ8" s="40">
        <f>IF(F8=0,0,MIN(AX8,Ansparphase!$BG$57*$CG$5))</f>
        <v/>
      </c>
      <c r="BA8" s="40">
        <f>AZ8-IF(AX8=0,0,AY8*AZ8/AX8)</f>
        <v/>
      </c>
      <c r="BB8" s="40">
        <f>MAX(0,BA8*(1-Parameter!$C$37)-Parameter!$C$67)*Parameter!$C$36</f>
        <v/>
      </c>
      <c r="BC8" s="40">
        <f>AZ8-BB8</f>
        <v/>
      </c>
      <c r="BD8" s="38">
        <f>1/(1+Eingaben!$C$40)^C8</f>
        <v/>
      </c>
      <c r="BE8" s="40">
        <f>IF(AND(Eingaben!$C$31=2,F8=0),(Ansparphase!$AY$57+Ansparphase!$AZ$57)*Eingaben!$C$32/10000*12*(1+Eingaben!$C$33)^0,0)</f>
        <v/>
      </c>
      <c r="BF8" s="38">
        <f>1/(1+Parameter!$C$68)^0</f>
        <v/>
      </c>
      <c r="CE8" s="13" t="inlineStr">
        <is>
          <t>Summe nicht gefoerderter bAV-Beitraege (Anschaffungskosten)</t>
        </is>
      </c>
      <c r="CG8" s="45">
        <f>SUM(Ansparphase!$S$8:$S$57)</f>
        <v/>
      </c>
    </row>
    <row r="9">
      <c r="A9" s="32">
        <f>2026+C9</f>
        <v/>
      </c>
      <c r="B9" s="32">
        <f>Eingaben!$C$6+1</f>
        <v/>
      </c>
      <c r="C9" s="32">
        <f>B9-Eingaben!$C$5</f>
        <v/>
      </c>
      <c r="D9" s="41">
        <f>(1+Eingaben!$C$17)^C9</f>
        <v/>
      </c>
      <c r="E9" s="41">
        <f>(1+Eingaben!$C$13)^C9</f>
        <v/>
      </c>
      <c r="F9" s="32">
        <f>IF(B9&lt;=Eingaben!$C$7,1,0)</f>
        <v/>
      </c>
      <c r="G9" s="43">
        <f>Eingaben!$C$43*(1+Eingaben!$C$40)^C9</f>
        <v/>
      </c>
      <c r="H9" s="43">
        <f>MAX(0,(G9+IF(Eingaben!$C$14=3,Eingaben!$C$15,0))/Parameter!$C$57/D9)</f>
        <v/>
      </c>
      <c r="I9" s="43">
        <f>Parameter!$C$57*D9*(IF(H9&lt;=Parameter!$C$18,0,IF(H9&lt;=Parameter!$C$19,(Parameter!$C$22*(H9-Parameter!$C$18)/10000+Parameter!$C$23)*(H9-Parameter!$C$18)/10000,IF(H9&lt;=Parameter!$C$20,(Parameter!$C$24*(H9-Parameter!$C$19)/10000+Parameter!$C$25)*(H9-Parameter!$C$19)/10000+Parameter!$C$26,IF(H9&lt;=Parameter!$C$21,0.42*H9-Parameter!$C$27,0.45*H9-Parameter!$C$28)))))</f>
        <v/>
      </c>
      <c r="J9" s="43">
        <f>I9+IF(I9&lt;=(Parameter!$C$30*Parameter!$C$57*D9),0,MIN(Parameter!$C$29*I9,Parameter!$C$31*(I9-(Parameter!$C$30*Parameter!$C$57*D9))))+Eingaben!$C$16*I9</f>
        <v/>
      </c>
      <c r="K9" s="43">
        <f>IF(Eingaben!$C$31=1,IF(0=1,Ansparphase!$AY$57,0),(Ansparphase!$AY$57+Ansparphase!$AZ$57)*Eingaben!$C$32/10000*12*(1+Eingaben!$C$33)^1*F9*IF((Ansparphase!$AY$57+Ansparphase!$AZ$57)=0,0,Ansparphase!$AY$57/(Ansparphase!$AY$57+Ansparphase!$AZ$57)))</f>
        <v/>
      </c>
      <c r="L9" s="43">
        <f>IF(Eingaben!$C$31=1,IF(0=1,Ansparphase!$AZ$57,0),(Ansparphase!$AY$57+Ansparphase!$AZ$57)*Eingaben!$C$32/10000*12*(1+Eingaben!$C$33)^1*F9*IF((Ansparphase!$AY$57+Ansparphase!$AZ$57)=0,0,Ansparphase!$AZ$57/(Ansparphase!$AY$57+Ansparphase!$AZ$57)))</f>
        <v/>
      </c>
      <c r="M9" s="43">
        <f>K9+L9</f>
        <v/>
      </c>
      <c r="N9" s="43">
        <f>K9+L9*IF(Eingaben!$C$31=1,(1-IF(Ansparphase!$AZ$57=0,1,MIN(1,$CG$8/Ansparphase!$AZ$57)))*Parameter!$C$52,Parameter!$C$51)</f>
        <v/>
      </c>
      <c r="O9" s="43">
        <f>IF(Eingaben!$C$31=1,IF(1&lt;10,(Ansparphase!$AY$57+Ansparphase!$AZ$57)/120,0),M9/12)</f>
        <v/>
      </c>
      <c r="P9" s="43">
        <f>Eingaben!$C$44/12*(1+Eingaben!$C$13)^C9</f>
        <v/>
      </c>
      <c r="Q9" s="43">
        <f>MAX(0,MIN(O9,Parameter!$C$5/12*E9-P9))</f>
        <v/>
      </c>
      <c r="R9" s="43">
        <f>IF(Eingaben!$C$42=2,0,MAX(0,Q9-Parameter!$C$7*E9)*Parameter!$C$54*12)</f>
        <v/>
      </c>
      <c r="S9" s="43">
        <f>IF(Eingaben!$C$42=2,0,IF(O9&gt;Parameter!$C$7*E9,Q9*Parameter!$C$59*12,0))</f>
        <v/>
      </c>
      <c r="T9" s="43">
        <f>R9+S9</f>
        <v/>
      </c>
      <c r="U9" s="43">
        <f>Ansparphase!$BL$57*Parameter!$C$9*12*(1+Eingaben!$C$13)^(Eingaben!$C$6-Eingaben!$C$5)*(1+Eingaben!$C$13)^1*F9</f>
        <v/>
      </c>
      <c r="V9" s="43">
        <f>U9*Parameter!$C$66</f>
        <v/>
      </c>
      <c r="W9" s="43">
        <f>IF(Eingaben!$C$42=2,0,U9*(Parameter!$C$53+Parameter!$C$59))</f>
        <v/>
      </c>
      <c r="X9" s="43">
        <f>MAX(0,G9-V9+N9-T9+W9)</f>
        <v/>
      </c>
      <c r="Y9" s="43">
        <f>MAX(0,(X9+IF(Eingaben!$C$14=3,Eingaben!$C$15,0))/Parameter!$C$57/D9)</f>
        <v/>
      </c>
      <c r="Z9" s="43">
        <f>Parameter!$C$57*D9*(IF(Y9&lt;=Parameter!$C$18,0,IF(Y9&lt;=Parameter!$C$19,(Parameter!$C$22*(Y9-Parameter!$C$18)/10000+Parameter!$C$23)*(Y9-Parameter!$C$18)/10000,IF(Y9&lt;=Parameter!$C$20,(Parameter!$C$24*(Y9-Parameter!$C$19)/10000+Parameter!$C$25)*(Y9-Parameter!$C$19)/10000+Parameter!$C$26,IF(Y9&lt;=Parameter!$C$21,0.42*Y9-Parameter!$C$27,0.45*Y9-Parameter!$C$28)))))</f>
        <v/>
      </c>
      <c r="AA9" s="43">
        <f>Z9+IF(Z9&lt;=(Parameter!$C$30*Parameter!$C$57*D9),0,MIN(Parameter!$C$29*Z9,Parameter!$C$31*(Z9-(Parameter!$C$30*Parameter!$C$57*D9))))+Eingaben!$C$16*Z9</f>
        <v/>
      </c>
      <c r="AB9" s="43">
        <f>MAX(0,G9-V9+N9/5-T9+W9)</f>
        <v/>
      </c>
      <c r="AC9" s="43">
        <f>MAX(0,(AB9+IF(Eingaben!$C$14=3,Eingaben!$C$15,0))/Parameter!$C$57/D9)</f>
        <v/>
      </c>
      <c r="AD9" s="43">
        <f>Parameter!$C$57*D9*(IF(AC9&lt;=Parameter!$C$18,0,IF(AC9&lt;=Parameter!$C$19,(Parameter!$C$22*(AC9-Parameter!$C$18)/10000+Parameter!$C$23)*(AC9-Parameter!$C$18)/10000,IF(AC9&lt;=Parameter!$C$20,(Parameter!$C$24*(AC9-Parameter!$C$19)/10000+Parameter!$C$25)*(AC9-Parameter!$C$19)/10000+Parameter!$C$26,IF(AC9&lt;=Parameter!$C$21,0.42*AC9-Parameter!$C$27,0.45*AC9-Parameter!$C$28)))))</f>
        <v/>
      </c>
      <c r="AE9" s="43">
        <f>AD9+IF(AD9&lt;=(Parameter!$C$30*Parameter!$C$57*D9),0,MIN(Parameter!$C$29*AD9,Parameter!$C$31*(AD9-(Parameter!$C$30*Parameter!$C$57*D9))))+Eingaben!$C$16*AD9</f>
        <v/>
      </c>
      <c r="AF9" s="43">
        <f>IF(AND(Eingaben!$C$34=1,Eingaben!$C$31=1,M9&gt;0),MIN(AA9-J9,5*(AE9-J9)),AA9-J9)</f>
        <v/>
      </c>
      <c r="AG9" s="43">
        <f>M9-T9-AF9-U9+W9</f>
        <v/>
      </c>
      <c r="AH9" s="43">
        <f>IF(Eingaben!$C$46=2,0,MAX(0,(AH8-AI8)*(1+Parameter!$C$61)))</f>
        <v/>
      </c>
      <c r="AI9" s="43">
        <f>IF(Eingaben!$C$46=1,IF(F9=0,0,MIN(AH9,Ansparphase!$BA$57*IF(1=0,Eingaben!$C$45,0)+(Ansparphase!$BA$57*(1-Eingaben!$C$45))*$CG$4)),Ansparphase!$BA$57*IF(1=0,Eingaben!$C$45,0)+(((Ansparphase!$BA$57*(1-Eingaben!$C$45))+(Ansparphase!$BB$57*(1-Eingaben!$C$45)))*Eingaben!$C$47/10000*12*(1+Eingaben!$C$48)^1*F9)*IF(((Ansparphase!$BA$57*(1-Eingaben!$C$45))+(Ansparphase!$BB$57*(1-Eingaben!$C$45)))=0,0,(Ansparphase!$BA$57*(1-Eingaben!$C$45))/((Ansparphase!$BA$57*(1-Eingaben!$C$45))+(Ansparphase!$BB$57*(1-Eingaben!$C$45)))))</f>
        <v/>
      </c>
      <c r="AJ9" s="43">
        <f>IF(Eingaben!$C$46=2,0,MAX(0,(AJ8-AK8)*(1+Parameter!$C$61)))</f>
        <v/>
      </c>
      <c r="AK9" s="43">
        <f>AO9+AP9</f>
        <v/>
      </c>
      <c r="AL9" s="43">
        <f>MAX(0,(AL8-AM8)*(1+Parameter!$C$62))</f>
        <v/>
      </c>
      <c r="AM9" s="43">
        <f>IF(F9=0,0,MIN(AL9,Ansparphase!$BC$57*$CG$5))</f>
        <v/>
      </c>
      <c r="AN9" s="43">
        <f>MAX(0,AM9*(1-IF(Ansparphase!$BC$57=0,1,MIN(1,Ansparphase!$BD$57/Ansparphase!$BC$57)))*(1-Parameter!$C$37))*Parameter!$C$36</f>
        <v/>
      </c>
      <c r="AO9" s="43">
        <f>IF(Eingaben!$C$46=1,IF(F9=0,0,MIN(AJ9,Ansparphase!$BB$57*IF(1=0,Eingaben!$C$45,0)+(Ansparphase!$BB$57*(1-Eingaben!$C$45))*$CG$4)),Ansparphase!$BB$57*IF(1=0,Eingaben!$C$45,0))</f>
        <v/>
      </c>
      <c r="AP9" s="43">
        <f>IF(Eingaben!$C$46=1,0,(((Ansparphase!$BA$57*(1-Eingaben!$C$45))+(Ansparphase!$BB$57*(1-Eingaben!$C$45)))*Eingaben!$C$47/10000*12*(1+Eingaben!$C$48)^1*F9)*IF(((Ansparphase!$BA$57*(1-Eingaben!$C$45))+(Ansparphase!$BB$57*(1-Eingaben!$C$45)))=0,0,(Ansparphase!$BB$57*(1-Eingaben!$C$45))/((Ansparphase!$BA$57*(1-Eingaben!$C$45))+(Ansparphase!$BB$57*(1-Eingaben!$C$45)))))</f>
        <v/>
      </c>
      <c r="AQ9" s="43">
        <f>IF(AND(Eingaben!$C$46=2,F9=0),((Ansparphase!$BA$57*(1-Eingaben!$C$45))+(Ansparphase!$BB$57*(1-Eingaben!$C$45)))*Eingaben!$C$47/10000*12*(1+Eingaben!$C$48)^1,0)</f>
        <v/>
      </c>
      <c r="AR9" s="43">
        <f>AI9+AO9*(1-IF(Ansparphase!$BB$57=0,1,MIN(1,$CG$7/Ansparphase!$BB$57)))*Parameter!$C$52+AP9*Parameter!$C$51</f>
        <v/>
      </c>
      <c r="AS9" s="43">
        <f>MAX(0,G9+AR9)</f>
        <v/>
      </c>
      <c r="AT9" s="43">
        <f>MAX(0,(AS9+IF(Eingaben!$C$14=3,Eingaben!$C$15,0))/Parameter!$C$57/D9)</f>
        <v/>
      </c>
      <c r="AU9" s="43">
        <f>Parameter!$C$57*D9*(IF(AT9&lt;=Parameter!$C$18,0,IF(AT9&lt;=Parameter!$C$19,(Parameter!$C$22*(AT9-Parameter!$C$18)/10000+Parameter!$C$23)*(AT9-Parameter!$C$18)/10000,IF(AT9&lt;=Parameter!$C$20,(Parameter!$C$24*(AT9-Parameter!$C$19)/10000+Parameter!$C$25)*(AT9-Parameter!$C$19)/10000+Parameter!$C$26,IF(AT9&lt;=Parameter!$C$21,0.42*AT9-Parameter!$C$27,0.45*AT9-Parameter!$C$28)))))</f>
        <v/>
      </c>
      <c r="AV9" s="43">
        <f>AU9+IF(AU9&lt;=(Parameter!$C$30*Parameter!$C$57*D9),0,MIN(Parameter!$C$29*AU9,Parameter!$C$31*(AU9-(Parameter!$C$30*Parameter!$C$57*D9))))+Eingaben!$C$16*AU9</f>
        <v/>
      </c>
      <c r="AW9" s="43">
        <f>AI9+AK9-(AV9-J9)+AM9-AN9</f>
        <v/>
      </c>
      <c r="AX9" s="43">
        <f>MAX(0,(AX8-AZ8)*(1+Parameter!$C$62))</f>
        <v/>
      </c>
      <c r="AY9" s="43">
        <f>MAX(0,AY8-AY8*IF(AX8=0,0,AZ8/AX8))</f>
        <v/>
      </c>
      <c r="AZ9" s="43">
        <f>IF(F9=0,0,MIN(AX9,Ansparphase!$BG$57*$CG$5))</f>
        <v/>
      </c>
      <c r="BA9" s="43">
        <f>AZ9-IF(AX9=0,0,AY9*AZ9/AX9)</f>
        <v/>
      </c>
      <c r="BB9" s="43">
        <f>MAX(0,BA9*(1-Parameter!$C$37)-Parameter!$C$67)*Parameter!$C$36</f>
        <v/>
      </c>
      <c r="BC9" s="43">
        <f>AZ9-BB9</f>
        <v/>
      </c>
      <c r="BD9" s="41">
        <f>1/(1+Eingaben!$C$40)^C9</f>
        <v/>
      </c>
      <c r="BE9" s="43">
        <f>IF(AND(Eingaben!$C$31=2,F9=0),(Ansparphase!$AY$57+Ansparphase!$AZ$57)*Eingaben!$C$32/10000*12*(1+Eingaben!$C$33)^1,0)</f>
        <v/>
      </c>
      <c r="BF9" s="41">
        <f>1/(1+Parameter!$C$68)^1</f>
        <v/>
      </c>
    </row>
    <row r="10">
      <c r="A10" s="30">
        <f>2026+C10</f>
        <v/>
      </c>
      <c r="B10" s="30">
        <f>Eingaben!$C$6+2</f>
        <v/>
      </c>
      <c r="C10" s="30">
        <f>B10-Eingaben!$C$5</f>
        <v/>
      </c>
      <c r="D10" s="38">
        <f>(1+Eingaben!$C$17)^C10</f>
        <v/>
      </c>
      <c r="E10" s="38">
        <f>(1+Eingaben!$C$13)^C10</f>
        <v/>
      </c>
      <c r="F10" s="30">
        <f>IF(B10&lt;=Eingaben!$C$7,1,0)</f>
        <v/>
      </c>
      <c r="G10" s="40">
        <f>Eingaben!$C$43*(1+Eingaben!$C$40)^C10</f>
        <v/>
      </c>
      <c r="H10" s="40">
        <f>MAX(0,(G10+IF(Eingaben!$C$14=3,Eingaben!$C$15,0))/Parameter!$C$57/D10)</f>
        <v/>
      </c>
      <c r="I10" s="40">
        <f>Parameter!$C$57*D10*(IF(H10&lt;=Parameter!$C$18,0,IF(H10&lt;=Parameter!$C$19,(Parameter!$C$22*(H10-Parameter!$C$18)/10000+Parameter!$C$23)*(H10-Parameter!$C$18)/10000,IF(H10&lt;=Parameter!$C$20,(Parameter!$C$24*(H10-Parameter!$C$19)/10000+Parameter!$C$25)*(H10-Parameter!$C$19)/10000+Parameter!$C$26,IF(H10&lt;=Parameter!$C$21,0.42*H10-Parameter!$C$27,0.45*H10-Parameter!$C$28)))))</f>
        <v/>
      </c>
      <c r="J10" s="40">
        <f>I10+IF(I10&lt;=(Parameter!$C$30*Parameter!$C$57*D10),0,MIN(Parameter!$C$29*I10,Parameter!$C$31*(I10-(Parameter!$C$30*Parameter!$C$57*D10))))+Eingaben!$C$16*I10</f>
        <v/>
      </c>
      <c r="K10" s="40">
        <f>IF(Eingaben!$C$31=1,IF(0=1,Ansparphase!$AY$57,0),(Ansparphase!$AY$57+Ansparphase!$AZ$57)*Eingaben!$C$32/10000*12*(1+Eingaben!$C$33)^2*F10*IF((Ansparphase!$AY$57+Ansparphase!$AZ$57)=0,0,Ansparphase!$AY$57/(Ansparphase!$AY$57+Ansparphase!$AZ$57)))</f>
        <v/>
      </c>
      <c r="L10" s="40">
        <f>IF(Eingaben!$C$31=1,IF(0=1,Ansparphase!$AZ$57,0),(Ansparphase!$AY$57+Ansparphase!$AZ$57)*Eingaben!$C$32/10000*12*(1+Eingaben!$C$33)^2*F10*IF((Ansparphase!$AY$57+Ansparphase!$AZ$57)=0,0,Ansparphase!$AZ$57/(Ansparphase!$AY$57+Ansparphase!$AZ$57)))</f>
        <v/>
      </c>
      <c r="M10" s="40">
        <f>K10+L10</f>
        <v/>
      </c>
      <c r="N10" s="40">
        <f>K10+L10*IF(Eingaben!$C$31=1,(1-IF(Ansparphase!$AZ$57=0,1,MIN(1,$CG$8/Ansparphase!$AZ$57)))*Parameter!$C$52,Parameter!$C$51)</f>
        <v/>
      </c>
      <c r="O10" s="40">
        <f>IF(Eingaben!$C$31=1,IF(2&lt;10,(Ansparphase!$AY$57+Ansparphase!$AZ$57)/120,0),M10/12)</f>
        <v/>
      </c>
      <c r="P10" s="40">
        <f>Eingaben!$C$44/12*(1+Eingaben!$C$13)^C10</f>
        <v/>
      </c>
      <c r="Q10" s="40">
        <f>MAX(0,MIN(O10,Parameter!$C$5/12*E10-P10))</f>
        <v/>
      </c>
      <c r="R10" s="40">
        <f>IF(Eingaben!$C$42=2,0,MAX(0,Q10-Parameter!$C$7*E10)*Parameter!$C$54*12)</f>
        <v/>
      </c>
      <c r="S10" s="40">
        <f>IF(Eingaben!$C$42=2,0,IF(O10&gt;Parameter!$C$7*E10,Q10*Parameter!$C$59*12,0))</f>
        <v/>
      </c>
      <c r="T10" s="40">
        <f>R10+S10</f>
        <v/>
      </c>
      <c r="U10" s="40">
        <f>Ansparphase!$BL$57*Parameter!$C$9*12*(1+Eingaben!$C$13)^(Eingaben!$C$6-Eingaben!$C$5)*(1+Eingaben!$C$13)^2*F10</f>
        <v/>
      </c>
      <c r="V10" s="40">
        <f>U10*Parameter!$C$66</f>
        <v/>
      </c>
      <c r="W10" s="40">
        <f>IF(Eingaben!$C$42=2,0,U10*(Parameter!$C$53+Parameter!$C$59))</f>
        <v/>
      </c>
      <c r="X10" s="40">
        <f>MAX(0,G10-V10+N10-T10+W10)</f>
        <v/>
      </c>
      <c r="Y10" s="40">
        <f>MAX(0,(X10+IF(Eingaben!$C$14=3,Eingaben!$C$15,0))/Parameter!$C$57/D10)</f>
        <v/>
      </c>
      <c r="Z10" s="40">
        <f>Parameter!$C$57*D10*(IF(Y10&lt;=Parameter!$C$18,0,IF(Y10&lt;=Parameter!$C$19,(Parameter!$C$22*(Y10-Parameter!$C$18)/10000+Parameter!$C$23)*(Y10-Parameter!$C$18)/10000,IF(Y10&lt;=Parameter!$C$20,(Parameter!$C$24*(Y10-Parameter!$C$19)/10000+Parameter!$C$25)*(Y10-Parameter!$C$19)/10000+Parameter!$C$26,IF(Y10&lt;=Parameter!$C$21,0.42*Y10-Parameter!$C$27,0.45*Y10-Parameter!$C$28)))))</f>
        <v/>
      </c>
      <c r="AA10" s="40">
        <f>Z10+IF(Z10&lt;=(Parameter!$C$30*Parameter!$C$57*D10),0,MIN(Parameter!$C$29*Z10,Parameter!$C$31*(Z10-(Parameter!$C$30*Parameter!$C$57*D10))))+Eingaben!$C$16*Z10</f>
        <v/>
      </c>
      <c r="AB10" s="40">
        <f>MAX(0,G10-V10+N10/5-T10+W10)</f>
        <v/>
      </c>
      <c r="AC10" s="40">
        <f>MAX(0,(AB10+IF(Eingaben!$C$14=3,Eingaben!$C$15,0))/Parameter!$C$57/D10)</f>
        <v/>
      </c>
      <c r="AD10" s="40">
        <f>Parameter!$C$57*D10*(IF(AC10&lt;=Parameter!$C$18,0,IF(AC10&lt;=Parameter!$C$19,(Parameter!$C$22*(AC10-Parameter!$C$18)/10000+Parameter!$C$23)*(AC10-Parameter!$C$18)/10000,IF(AC10&lt;=Parameter!$C$20,(Parameter!$C$24*(AC10-Parameter!$C$19)/10000+Parameter!$C$25)*(AC10-Parameter!$C$19)/10000+Parameter!$C$26,IF(AC10&lt;=Parameter!$C$21,0.42*AC10-Parameter!$C$27,0.45*AC10-Parameter!$C$28)))))</f>
        <v/>
      </c>
      <c r="AE10" s="40">
        <f>AD10+IF(AD10&lt;=(Parameter!$C$30*Parameter!$C$57*D10),0,MIN(Parameter!$C$29*AD10,Parameter!$C$31*(AD10-(Parameter!$C$30*Parameter!$C$57*D10))))+Eingaben!$C$16*AD10</f>
        <v/>
      </c>
      <c r="AF10" s="40">
        <f>IF(AND(Eingaben!$C$34=1,Eingaben!$C$31=1,M10&gt;0),MIN(AA10-J10,5*(AE10-J10)),AA10-J10)</f>
        <v/>
      </c>
      <c r="AG10" s="40">
        <f>M10-T10-AF10-U10+W10</f>
        <v/>
      </c>
      <c r="AH10" s="40">
        <f>IF(Eingaben!$C$46=2,0,MAX(0,(AH9-AI9)*(1+Parameter!$C$61)))</f>
        <v/>
      </c>
      <c r="AI10" s="40">
        <f>IF(Eingaben!$C$46=1,IF(F10=0,0,MIN(AH10,Ansparphase!$BA$57*IF(2=0,Eingaben!$C$45,0)+(Ansparphase!$BA$57*(1-Eingaben!$C$45))*$CG$4)),Ansparphase!$BA$57*IF(2=0,Eingaben!$C$45,0)+(((Ansparphase!$BA$57*(1-Eingaben!$C$45))+(Ansparphase!$BB$57*(1-Eingaben!$C$45)))*Eingaben!$C$47/10000*12*(1+Eingaben!$C$48)^2*F10)*IF(((Ansparphase!$BA$57*(1-Eingaben!$C$45))+(Ansparphase!$BB$57*(1-Eingaben!$C$45)))=0,0,(Ansparphase!$BA$57*(1-Eingaben!$C$45))/((Ansparphase!$BA$57*(1-Eingaben!$C$45))+(Ansparphase!$BB$57*(1-Eingaben!$C$45)))))</f>
        <v/>
      </c>
      <c r="AJ10" s="40">
        <f>IF(Eingaben!$C$46=2,0,MAX(0,(AJ9-AK9)*(1+Parameter!$C$61)))</f>
        <v/>
      </c>
      <c r="AK10" s="40">
        <f>AO10+AP10</f>
        <v/>
      </c>
      <c r="AL10" s="40">
        <f>MAX(0,(AL9-AM9)*(1+Parameter!$C$62))</f>
        <v/>
      </c>
      <c r="AM10" s="40">
        <f>IF(F10=0,0,MIN(AL10,Ansparphase!$BC$57*$CG$5))</f>
        <v/>
      </c>
      <c r="AN10" s="40">
        <f>MAX(0,AM10*(1-IF(Ansparphase!$BC$57=0,1,MIN(1,Ansparphase!$BD$57/Ansparphase!$BC$57)))*(1-Parameter!$C$37))*Parameter!$C$36</f>
        <v/>
      </c>
      <c r="AO10" s="40">
        <f>IF(Eingaben!$C$46=1,IF(F10=0,0,MIN(AJ10,Ansparphase!$BB$57*IF(2=0,Eingaben!$C$45,0)+(Ansparphase!$BB$57*(1-Eingaben!$C$45))*$CG$4)),Ansparphase!$BB$57*IF(2=0,Eingaben!$C$45,0))</f>
        <v/>
      </c>
      <c r="AP10" s="40">
        <f>IF(Eingaben!$C$46=1,0,(((Ansparphase!$BA$57*(1-Eingaben!$C$45))+(Ansparphase!$BB$57*(1-Eingaben!$C$45)))*Eingaben!$C$47/10000*12*(1+Eingaben!$C$48)^2*F10)*IF(((Ansparphase!$BA$57*(1-Eingaben!$C$45))+(Ansparphase!$BB$57*(1-Eingaben!$C$45)))=0,0,(Ansparphase!$BB$57*(1-Eingaben!$C$45))/((Ansparphase!$BA$57*(1-Eingaben!$C$45))+(Ansparphase!$BB$57*(1-Eingaben!$C$45)))))</f>
        <v/>
      </c>
      <c r="AQ10" s="40">
        <f>IF(AND(Eingaben!$C$46=2,F10=0),((Ansparphase!$BA$57*(1-Eingaben!$C$45))+(Ansparphase!$BB$57*(1-Eingaben!$C$45)))*Eingaben!$C$47/10000*12*(1+Eingaben!$C$48)^2,0)</f>
        <v/>
      </c>
      <c r="AR10" s="40">
        <f>AI10+AO10*(1-IF(Ansparphase!$BB$57=0,1,MIN(1,$CG$7/Ansparphase!$BB$57)))*Parameter!$C$52+AP10*Parameter!$C$51</f>
        <v/>
      </c>
      <c r="AS10" s="40">
        <f>MAX(0,G10+AR10)</f>
        <v/>
      </c>
      <c r="AT10" s="40">
        <f>MAX(0,(AS10+IF(Eingaben!$C$14=3,Eingaben!$C$15,0))/Parameter!$C$57/D10)</f>
        <v/>
      </c>
      <c r="AU10" s="40">
        <f>Parameter!$C$57*D10*(IF(AT10&lt;=Parameter!$C$18,0,IF(AT10&lt;=Parameter!$C$19,(Parameter!$C$22*(AT10-Parameter!$C$18)/10000+Parameter!$C$23)*(AT10-Parameter!$C$18)/10000,IF(AT10&lt;=Parameter!$C$20,(Parameter!$C$24*(AT10-Parameter!$C$19)/10000+Parameter!$C$25)*(AT10-Parameter!$C$19)/10000+Parameter!$C$26,IF(AT10&lt;=Parameter!$C$21,0.42*AT10-Parameter!$C$27,0.45*AT10-Parameter!$C$28)))))</f>
        <v/>
      </c>
      <c r="AV10" s="40">
        <f>AU10+IF(AU10&lt;=(Parameter!$C$30*Parameter!$C$57*D10),0,MIN(Parameter!$C$29*AU10,Parameter!$C$31*(AU10-(Parameter!$C$30*Parameter!$C$57*D10))))+Eingaben!$C$16*AU10</f>
        <v/>
      </c>
      <c r="AW10" s="40">
        <f>AI10+AK10-(AV10-J10)+AM10-AN10</f>
        <v/>
      </c>
      <c r="AX10" s="40">
        <f>MAX(0,(AX9-AZ9)*(1+Parameter!$C$62))</f>
        <v/>
      </c>
      <c r="AY10" s="40">
        <f>MAX(0,AY9-AY9*IF(AX9=0,0,AZ9/AX9))</f>
        <v/>
      </c>
      <c r="AZ10" s="40">
        <f>IF(F10=0,0,MIN(AX10,Ansparphase!$BG$57*$CG$5))</f>
        <v/>
      </c>
      <c r="BA10" s="40">
        <f>AZ10-IF(AX10=0,0,AY10*AZ10/AX10)</f>
        <v/>
      </c>
      <c r="BB10" s="40">
        <f>MAX(0,BA10*(1-Parameter!$C$37)-Parameter!$C$67)*Parameter!$C$36</f>
        <v/>
      </c>
      <c r="BC10" s="40">
        <f>AZ10-BB10</f>
        <v/>
      </c>
      <c r="BD10" s="38">
        <f>1/(1+Eingaben!$C$40)^C10</f>
        <v/>
      </c>
      <c r="BE10" s="40">
        <f>IF(AND(Eingaben!$C$31=2,F10=0),(Ansparphase!$AY$57+Ansparphase!$AZ$57)*Eingaben!$C$32/10000*12*(1+Eingaben!$C$33)^2,0)</f>
        <v/>
      </c>
      <c r="BF10" s="38">
        <f>1/(1+Parameter!$C$68)^2</f>
        <v/>
      </c>
    </row>
    <row r="11">
      <c r="A11" s="32">
        <f>2026+C11</f>
        <v/>
      </c>
      <c r="B11" s="32">
        <f>Eingaben!$C$6+3</f>
        <v/>
      </c>
      <c r="C11" s="32">
        <f>B11-Eingaben!$C$5</f>
        <v/>
      </c>
      <c r="D11" s="41">
        <f>(1+Eingaben!$C$17)^C11</f>
        <v/>
      </c>
      <c r="E11" s="41">
        <f>(1+Eingaben!$C$13)^C11</f>
        <v/>
      </c>
      <c r="F11" s="32">
        <f>IF(B11&lt;=Eingaben!$C$7,1,0)</f>
        <v/>
      </c>
      <c r="G11" s="43">
        <f>Eingaben!$C$43*(1+Eingaben!$C$40)^C11</f>
        <v/>
      </c>
      <c r="H11" s="43">
        <f>MAX(0,(G11+IF(Eingaben!$C$14=3,Eingaben!$C$15,0))/Parameter!$C$57/D11)</f>
        <v/>
      </c>
      <c r="I11" s="43">
        <f>Parameter!$C$57*D11*(IF(H11&lt;=Parameter!$C$18,0,IF(H11&lt;=Parameter!$C$19,(Parameter!$C$22*(H11-Parameter!$C$18)/10000+Parameter!$C$23)*(H11-Parameter!$C$18)/10000,IF(H11&lt;=Parameter!$C$20,(Parameter!$C$24*(H11-Parameter!$C$19)/10000+Parameter!$C$25)*(H11-Parameter!$C$19)/10000+Parameter!$C$26,IF(H11&lt;=Parameter!$C$21,0.42*H11-Parameter!$C$27,0.45*H11-Parameter!$C$28)))))</f>
        <v/>
      </c>
      <c r="J11" s="43">
        <f>I11+IF(I11&lt;=(Parameter!$C$30*Parameter!$C$57*D11),0,MIN(Parameter!$C$29*I11,Parameter!$C$31*(I11-(Parameter!$C$30*Parameter!$C$57*D11))))+Eingaben!$C$16*I11</f>
        <v/>
      </c>
      <c r="K11" s="43">
        <f>IF(Eingaben!$C$31=1,IF(0=1,Ansparphase!$AY$57,0),(Ansparphase!$AY$57+Ansparphase!$AZ$57)*Eingaben!$C$32/10000*12*(1+Eingaben!$C$33)^3*F11*IF((Ansparphase!$AY$57+Ansparphase!$AZ$57)=0,0,Ansparphase!$AY$57/(Ansparphase!$AY$57+Ansparphase!$AZ$57)))</f>
        <v/>
      </c>
      <c r="L11" s="43">
        <f>IF(Eingaben!$C$31=1,IF(0=1,Ansparphase!$AZ$57,0),(Ansparphase!$AY$57+Ansparphase!$AZ$57)*Eingaben!$C$32/10000*12*(1+Eingaben!$C$33)^3*F11*IF((Ansparphase!$AY$57+Ansparphase!$AZ$57)=0,0,Ansparphase!$AZ$57/(Ansparphase!$AY$57+Ansparphase!$AZ$57)))</f>
        <v/>
      </c>
      <c r="M11" s="43">
        <f>K11+L11</f>
        <v/>
      </c>
      <c r="N11" s="43">
        <f>K11+L11*IF(Eingaben!$C$31=1,(1-IF(Ansparphase!$AZ$57=0,1,MIN(1,$CG$8/Ansparphase!$AZ$57)))*Parameter!$C$52,Parameter!$C$51)</f>
        <v/>
      </c>
      <c r="O11" s="43">
        <f>IF(Eingaben!$C$31=1,IF(3&lt;10,(Ansparphase!$AY$57+Ansparphase!$AZ$57)/120,0),M11/12)</f>
        <v/>
      </c>
      <c r="P11" s="43">
        <f>Eingaben!$C$44/12*(1+Eingaben!$C$13)^C11</f>
        <v/>
      </c>
      <c r="Q11" s="43">
        <f>MAX(0,MIN(O11,Parameter!$C$5/12*E11-P11))</f>
        <v/>
      </c>
      <c r="R11" s="43">
        <f>IF(Eingaben!$C$42=2,0,MAX(0,Q11-Parameter!$C$7*E11)*Parameter!$C$54*12)</f>
        <v/>
      </c>
      <c r="S11" s="43">
        <f>IF(Eingaben!$C$42=2,0,IF(O11&gt;Parameter!$C$7*E11,Q11*Parameter!$C$59*12,0))</f>
        <v/>
      </c>
      <c r="T11" s="43">
        <f>R11+S11</f>
        <v/>
      </c>
      <c r="U11" s="43">
        <f>Ansparphase!$BL$57*Parameter!$C$9*12*(1+Eingaben!$C$13)^(Eingaben!$C$6-Eingaben!$C$5)*(1+Eingaben!$C$13)^3*F11</f>
        <v/>
      </c>
      <c r="V11" s="43">
        <f>U11*Parameter!$C$66</f>
        <v/>
      </c>
      <c r="W11" s="43">
        <f>IF(Eingaben!$C$42=2,0,U11*(Parameter!$C$53+Parameter!$C$59))</f>
        <v/>
      </c>
      <c r="X11" s="43">
        <f>MAX(0,G11-V11+N11-T11+W11)</f>
        <v/>
      </c>
      <c r="Y11" s="43">
        <f>MAX(0,(X11+IF(Eingaben!$C$14=3,Eingaben!$C$15,0))/Parameter!$C$57/D11)</f>
        <v/>
      </c>
      <c r="Z11" s="43">
        <f>Parameter!$C$57*D11*(IF(Y11&lt;=Parameter!$C$18,0,IF(Y11&lt;=Parameter!$C$19,(Parameter!$C$22*(Y11-Parameter!$C$18)/10000+Parameter!$C$23)*(Y11-Parameter!$C$18)/10000,IF(Y11&lt;=Parameter!$C$20,(Parameter!$C$24*(Y11-Parameter!$C$19)/10000+Parameter!$C$25)*(Y11-Parameter!$C$19)/10000+Parameter!$C$26,IF(Y11&lt;=Parameter!$C$21,0.42*Y11-Parameter!$C$27,0.45*Y11-Parameter!$C$28)))))</f>
        <v/>
      </c>
      <c r="AA11" s="43">
        <f>Z11+IF(Z11&lt;=(Parameter!$C$30*Parameter!$C$57*D11),0,MIN(Parameter!$C$29*Z11,Parameter!$C$31*(Z11-(Parameter!$C$30*Parameter!$C$57*D11))))+Eingaben!$C$16*Z11</f>
        <v/>
      </c>
      <c r="AB11" s="43">
        <f>MAX(0,G11-V11+N11/5-T11+W11)</f>
        <v/>
      </c>
      <c r="AC11" s="43">
        <f>MAX(0,(AB11+IF(Eingaben!$C$14=3,Eingaben!$C$15,0))/Parameter!$C$57/D11)</f>
        <v/>
      </c>
      <c r="AD11" s="43">
        <f>Parameter!$C$57*D11*(IF(AC11&lt;=Parameter!$C$18,0,IF(AC11&lt;=Parameter!$C$19,(Parameter!$C$22*(AC11-Parameter!$C$18)/10000+Parameter!$C$23)*(AC11-Parameter!$C$18)/10000,IF(AC11&lt;=Parameter!$C$20,(Parameter!$C$24*(AC11-Parameter!$C$19)/10000+Parameter!$C$25)*(AC11-Parameter!$C$19)/10000+Parameter!$C$26,IF(AC11&lt;=Parameter!$C$21,0.42*AC11-Parameter!$C$27,0.45*AC11-Parameter!$C$28)))))</f>
        <v/>
      </c>
      <c r="AE11" s="43">
        <f>AD11+IF(AD11&lt;=(Parameter!$C$30*Parameter!$C$57*D11),0,MIN(Parameter!$C$29*AD11,Parameter!$C$31*(AD11-(Parameter!$C$30*Parameter!$C$57*D11))))+Eingaben!$C$16*AD11</f>
        <v/>
      </c>
      <c r="AF11" s="43">
        <f>IF(AND(Eingaben!$C$34=1,Eingaben!$C$31=1,M11&gt;0),MIN(AA11-J11,5*(AE11-J11)),AA11-J11)</f>
        <v/>
      </c>
      <c r="AG11" s="43">
        <f>M11-T11-AF11-U11+W11</f>
        <v/>
      </c>
      <c r="AH11" s="43">
        <f>IF(Eingaben!$C$46=2,0,MAX(0,(AH10-AI10)*(1+Parameter!$C$61)))</f>
        <v/>
      </c>
      <c r="AI11" s="43">
        <f>IF(Eingaben!$C$46=1,IF(F11=0,0,MIN(AH11,Ansparphase!$BA$57*IF(3=0,Eingaben!$C$45,0)+(Ansparphase!$BA$57*(1-Eingaben!$C$45))*$CG$4)),Ansparphase!$BA$57*IF(3=0,Eingaben!$C$45,0)+(((Ansparphase!$BA$57*(1-Eingaben!$C$45))+(Ansparphase!$BB$57*(1-Eingaben!$C$45)))*Eingaben!$C$47/10000*12*(1+Eingaben!$C$48)^3*F11)*IF(((Ansparphase!$BA$57*(1-Eingaben!$C$45))+(Ansparphase!$BB$57*(1-Eingaben!$C$45)))=0,0,(Ansparphase!$BA$57*(1-Eingaben!$C$45))/((Ansparphase!$BA$57*(1-Eingaben!$C$45))+(Ansparphase!$BB$57*(1-Eingaben!$C$45)))))</f>
        <v/>
      </c>
      <c r="AJ11" s="43">
        <f>IF(Eingaben!$C$46=2,0,MAX(0,(AJ10-AK10)*(1+Parameter!$C$61)))</f>
        <v/>
      </c>
      <c r="AK11" s="43">
        <f>AO11+AP11</f>
        <v/>
      </c>
      <c r="AL11" s="43">
        <f>MAX(0,(AL10-AM10)*(1+Parameter!$C$62))</f>
        <v/>
      </c>
      <c r="AM11" s="43">
        <f>IF(F11=0,0,MIN(AL11,Ansparphase!$BC$57*$CG$5))</f>
        <v/>
      </c>
      <c r="AN11" s="43">
        <f>MAX(0,AM11*(1-IF(Ansparphase!$BC$57=0,1,MIN(1,Ansparphase!$BD$57/Ansparphase!$BC$57)))*(1-Parameter!$C$37))*Parameter!$C$36</f>
        <v/>
      </c>
      <c r="AO11" s="43">
        <f>IF(Eingaben!$C$46=1,IF(F11=0,0,MIN(AJ11,Ansparphase!$BB$57*IF(3=0,Eingaben!$C$45,0)+(Ansparphase!$BB$57*(1-Eingaben!$C$45))*$CG$4)),Ansparphase!$BB$57*IF(3=0,Eingaben!$C$45,0))</f>
        <v/>
      </c>
      <c r="AP11" s="43">
        <f>IF(Eingaben!$C$46=1,0,(((Ansparphase!$BA$57*(1-Eingaben!$C$45))+(Ansparphase!$BB$57*(1-Eingaben!$C$45)))*Eingaben!$C$47/10000*12*(1+Eingaben!$C$48)^3*F11)*IF(((Ansparphase!$BA$57*(1-Eingaben!$C$45))+(Ansparphase!$BB$57*(1-Eingaben!$C$45)))=0,0,(Ansparphase!$BB$57*(1-Eingaben!$C$45))/((Ansparphase!$BA$57*(1-Eingaben!$C$45))+(Ansparphase!$BB$57*(1-Eingaben!$C$45)))))</f>
        <v/>
      </c>
      <c r="AQ11" s="43">
        <f>IF(AND(Eingaben!$C$46=2,F11=0),((Ansparphase!$BA$57*(1-Eingaben!$C$45))+(Ansparphase!$BB$57*(1-Eingaben!$C$45)))*Eingaben!$C$47/10000*12*(1+Eingaben!$C$48)^3,0)</f>
        <v/>
      </c>
      <c r="AR11" s="43">
        <f>AI11+AO11*(1-IF(Ansparphase!$BB$57=0,1,MIN(1,$CG$7/Ansparphase!$BB$57)))*Parameter!$C$52+AP11*Parameter!$C$51</f>
        <v/>
      </c>
      <c r="AS11" s="43">
        <f>MAX(0,G11+AR11)</f>
        <v/>
      </c>
      <c r="AT11" s="43">
        <f>MAX(0,(AS11+IF(Eingaben!$C$14=3,Eingaben!$C$15,0))/Parameter!$C$57/D11)</f>
        <v/>
      </c>
      <c r="AU11" s="43">
        <f>Parameter!$C$57*D11*(IF(AT11&lt;=Parameter!$C$18,0,IF(AT11&lt;=Parameter!$C$19,(Parameter!$C$22*(AT11-Parameter!$C$18)/10000+Parameter!$C$23)*(AT11-Parameter!$C$18)/10000,IF(AT11&lt;=Parameter!$C$20,(Parameter!$C$24*(AT11-Parameter!$C$19)/10000+Parameter!$C$25)*(AT11-Parameter!$C$19)/10000+Parameter!$C$26,IF(AT11&lt;=Parameter!$C$21,0.42*AT11-Parameter!$C$27,0.45*AT11-Parameter!$C$28)))))</f>
        <v/>
      </c>
      <c r="AV11" s="43">
        <f>AU11+IF(AU11&lt;=(Parameter!$C$30*Parameter!$C$57*D11),0,MIN(Parameter!$C$29*AU11,Parameter!$C$31*(AU11-(Parameter!$C$30*Parameter!$C$57*D11))))+Eingaben!$C$16*AU11</f>
        <v/>
      </c>
      <c r="AW11" s="43">
        <f>AI11+AK11-(AV11-J11)+AM11-AN11</f>
        <v/>
      </c>
      <c r="AX11" s="43">
        <f>MAX(0,(AX10-AZ10)*(1+Parameter!$C$62))</f>
        <v/>
      </c>
      <c r="AY11" s="43">
        <f>MAX(0,AY10-AY10*IF(AX10=0,0,AZ10/AX10))</f>
        <v/>
      </c>
      <c r="AZ11" s="43">
        <f>IF(F11=0,0,MIN(AX11,Ansparphase!$BG$57*$CG$5))</f>
        <v/>
      </c>
      <c r="BA11" s="43">
        <f>AZ11-IF(AX11=0,0,AY11*AZ11/AX11)</f>
        <v/>
      </c>
      <c r="BB11" s="43">
        <f>MAX(0,BA11*(1-Parameter!$C$37)-Parameter!$C$67)*Parameter!$C$36</f>
        <v/>
      </c>
      <c r="BC11" s="43">
        <f>AZ11-BB11</f>
        <v/>
      </c>
      <c r="BD11" s="41">
        <f>1/(1+Eingaben!$C$40)^C11</f>
        <v/>
      </c>
      <c r="BE11" s="43">
        <f>IF(AND(Eingaben!$C$31=2,F11=0),(Ansparphase!$AY$57+Ansparphase!$AZ$57)*Eingaben!$C$32/10000*12*(1+Eingaben!$C$33)^3,0)</f>
        <v/>
      </c>
      <c r="BF11" s="41">
        <f>1/(1+Parameter!$C$68)^3</f>
        <v/>
      </c>
    </row>
    <row r="12">
      <c r="A12" s="30">
        <f>2026+C12</f>
        <v/>
      </c>
      <c r="B12" s="30">
        <f>Eingaben!$C$6+4</f>
        <v/>
      </c>
      <c r="C12" s="30">
        <f>B12-Eingaben!$C$5</f>
        <v/>
      </c>
      <c r="D12" s="38">
        <f>(1+Eingaben!$C$17)^C12</f>
        <v/>
      </c>
      <c r="E12" s="38">
        <f>(1+Eingaben!$C$13)^C12</f>
        <v/>
      </c>
      <c r="F12" s="30">
        <f>IF(B12&lt;=Eingaben!$C$7,1,0)</f>
        <v/>
      </c>
      <c r="G12" s="40">
        <f>Eingaben!$C$43*(1+Eingaben!$C$40)^C12</f>
        <v/>
      </c>
      <c r="H12" s="40">
        <f>MAX(0,(G12+IF(Eingaben!$C$14=3,Eingaben!$C$15,0))/Parameter!$C$57/D12)</f>
        <v/>
      </c>
      <c r="I12" s="40">
        <f>Parameter!$C$57*D12*(IF(H12&lt;=Parameter!$C$18,0,IF(H12&lt;=Parameter!$C$19,(Parameter!$C$22*(H12-Parameter!$C$18)/10000+Parameter!$C$23)*(H12-Parameter!$C$18)/10000,IF(H12&lt;=Parameter!$C$20,(Parameter!$C$24*(H12-Parameter!$C$19)/10000+Parameter!$C$25)*(H12-Parameter!$C$19)/10000+Parameter!$C$26,IF(H12&lt;=Parameter!$C$21,0.42*H12-Parameter!$C$27,0.45*H12-Parameter!$C$28)))))</f>
        <v/>
      </c>
      <c r="J12" s="40">
        <f>I12+IF(I12&lt;=(Parameter!$C$30*Parameter!$C$57*D12),0,MIN(Parameter!$C$29*I12,Parameter!$C$31*(I12-(Parameter!$C$30*Parameter!$C$57*D12))))+Eingaben!$C$16*I12</f>
        <v/>
      </c>
      <c r="K12" s="40">
        <f>IF(Eingaben!$C$31=1,IF(0=1,Ansparphase!$AY$57,0),(Ansparphase!$AY$57+Ansparphase!$AZ$57)*Eingaben!$C$32/10000*12*(1+Eingaben!$C$33)^4*F12*IF((Ansparphase!$AY$57+Ansparphase!$AZ$57)=0,0,Ansparphase!$AY$57/(Ansparphase!$AY$57+Ansparphase!$AZ$57)))</f>
        <v/>
      </c>
      <c r="L12" s="40">
        <f>IF(Eingaben!$C$31=1,IF(0=1,Ansparphase!$AZ$57,0),(Ansparphase!$AY$57+Ansparphase!$AZ$57)*Eingaben!$C$32/10000*12*(1+Eingaben!$C$33)^4*F12*IF((Ansparphase!$AY$57+Ansparphase!$AZ$57)=0,0,Ansparphase!$AZ$57/(Ansparphase!$AY$57+Ansparphase!$AZ$57)))</f>
        <v/>
      </c>
      <c r="M12" s="40">
        <f>K12+L12</f>
        <v/>
      </c>
      <c r="N12" s="40">
        <f>K12+L12*IF(Eingaben!$C$31=1,(1-IF(Ansparphase!$AZ$57=0,1,MIN(1,$CG$8/Ansparphase!$AZ$57)))*Parameter!$C$52,Parameter!$C$51)</f>
        <v/>
      </c>
      <c r="O12" s="40">
        <f>IF(Eingaben!$C$31=1,IF(4&lt;10,(Ansparphase!$AY$57+Ansparphase!$AZ$57)/120,0),M12/12)</f>
        <v/>
      </c>
      <c r="P12" s="40">
        <f>Eingaben!$C$44/12*(1+Eingaben!$C$13)^C12</f>
        <v/>
      </c>
      <c r="Q12" s="40">
        <f>MAX(0,MIN(O12,Parameter!$C$5/12*E12-P12))</f>
        <v/>
      </c>
      <c r="R12" s="40">
        <f>IF(Eingaben!$C$42=2,0,MAX(0,Q12-Parameter!$C$7*E12)*Parameter!$C$54*12)</f>
        <v/>
      </c>
      <c r="S12" s="40">
        <f>IF(Eingaben!$C$42=2,0,IF(O12&gt;Parameter!$C$7*E12,Q12*Parameter!$C$59*12,0))</f>
        <v/>
      </c>
      <c r="T12" s="40">
        <f>R12+S12</f>
        <v/>
      </c>
      <c r="U12" s="40">
        <f>Ansparphase!$BL$57*Parameter!$C$9*12*(1+Eingaben!$C$13)^(Eingaben!$C$6-Eingaben!$C$5)*(1+Eingaben!$C$13)^4*F12</f>
        <v/>
      </c>
      <c r="V12" s="40">
        <f>U12*Parameter!$C$66</f>
        <v/>
      </c>
      <c r="W12" s="40">
        <f>IF(Eingaben!$C$42=2,0,U12*(Parameter!$C$53+Parameter!$C$59))</f>
        <v/>
      </c>
      <c r="X12" s="40">
        <f>MAX(0,G12-V12+N12-T12+W12)</f>
        <v/>
      </c>
      <c r="Y12" s="40">
        <f>MAX(0,(X12+IF(Eingaben!$C$14=3,Eingaben!$C$15,0))/Parameter!$C$57/D12)</f>
        <v/>
      </c>
      <c r="Z12" s="40">
        <f>Parameter!$C$57*D12*(IF(Y12&lt;=Parameter!$C$18,0,IF(Y12&lt;=Parameter!$C$19,(Parameter!$C$22*(Y12-Parameter!$C$18)/10000+Parameter!$C$23)*(Y12-Parameter!$C$18)/10000,IF(Y12&lt;=Parameter!$C$20,(Parameter!$C$24*(Y12-Parameter!$C$19)/10000+Parameter!$C$25)*(Y12-Parameter!$C$19)/10000+Parameter!$C$26,IF(Y12&lt;=Parameter!$C$21,0.42*Y12-Parameter!$C$27,0.45*Y12-Parameter!$C$28)))))</f>
        <v/>
      </c>
      <c r="AA12" s="40">
        <f>Z12+IF(Z12&lt;=(Parameter!$C$30*Parameter!$C$57*D12),0,MIN(Parameter!$C$29*Z12,Parameter!$C$31*(Z12-(Parameter!$C$30*Parameter!$C$57*D12))))+Eingaben!$C$16*Z12</f>
        <v/>
      </c>
      <c r="AB12" s="40">
        <f>MAX(0,G12-V12+N12/5-T12+W12)</f>
        <v/>
      </c>
      <c r="AC12" s="40">
        <f>MAX(0,(AB12+IF(Eingaben!$C$14=3,Eingaben!$C$15,0))/Parameter!$C$57/D12)</f>
        <v/>
      </c>
      <c r="AD12" s="40">
        <f>Parameter!$C$57*D12*(IF(AC12&lt;=Parameter!$C$18,0,IF(AC12&lt;=Parameter!$C$19,(Parameter!$C$22*(AC12-Parameter!$C$18)/10000+Parameter!$C$23)*(AC12-Parameter!$C$18)/10000,IF(AC12&lt;=Parameter!$C$20,(Parameter!$C$24*(AC12-Parameter!$C$19)/10000+Parameter!$C$25)*(AC12-Parameter!$C$19)/10000+Parameter!$C$26,IF(AC12&lt;=Parameter!$C$21,0.42*AC12-Parameter!$C$27,0.45*AC12-Parameter!$C$28)))))</f>
        <v/>
      </c>
      <c r="AE12" s="40">
        <f>AD12+IF(AD12&lt;=(Parameter!$C$30*Parameter!$C$57*D12),0,MIN(Parameter!$C$29*AD12,Parameter!$C$31*(AD12-(Parameter!$C$30*Parameter!$C$57*D12))))+Eingaben!$C$16*AD12</f>
        <v/>
      </c>
      <c r="AF12" s="40">
        <f>IF(AND(Eingaben!$C$34=1,Eingaben!$C$31=1,M12&gt;0),MIN(AA12-J12,5*(AE12-J12)),AA12-J12)</f>
        <v/>
      </c>
      <c r="AG12" s="40">
        <f>M12-T12-AF12-U12+W12</f>
        <v/>
      </c>
      <c r="AH12" s="40">
        <f>IF(Eingaben!$C$46=2,0,MAX(0,(AH11-AI11)*(1+Parameter!$C$61)))</f>
        <v/>
      </c>
      <c r="AI12" s="40">
        <f>IF(Eingaben!$C$46=1,IF(F12=0,0,MIN(AH12,Ansparphase!$BA$57*IF(4=0,Eingaben!$C$45,0)+(Ansparphase!$BA$57*(1-Eingaben!$C$45))*$CG$4)),Ansparphase!$BA$57*IF(4=0,Eingaben!$C$45,0)+(((Ansparphase!$BA$57*(1-Eingaben!$C$45))+(Ansparphase!$BB$57*(1-Eingaben!$C$45)))*Eingaben!$C$47/10000*12*(1+Eingaben!$C$48)^4*F12)*IF(((Ansparphase!$BA$57*(1-Eingaben!$C$45))+(Ansparphase!$BB$57*(1-Eingaben!$C$45)))=0,0,(Ansparphase!$BA$57*(1-Eingaben!$C$45))/((Ansparphase!$BA$57*(1-Eingaben!$C$45))+(Ansparphase!$BB$57*(1-Eingaben!$C$45)))))</f>
        <v/>
      </c>
      <c r="AJ12" s="40">
        <f>IF(Eingaben!$C$46=2,0,MAX(0,(AJ11-AK11)*(1+Parameter!$C$61)))</f>
        <v/>
      </c>
      <c r="AK12" s="40">
        <f>AO12+AP12</f>
        <v/>
      </c>
      <c r="AL12" s="40">
        <f>MAX(0,(AL11-AM11)*(1+Parameter!$C$62))</f>
        <v/>
      </c>
      <c r="AM12" s="40">
        <f>IF(F12=0,0,MIN(AL12,Ansparphase!$BC$57*$CG$5))</f>
        <v/>
      </c>
      <c r="AN12" s="40">
        <f>MAX(0,AM12*(1-IF(Ansparphase!$BC$57=0,1,MIN(1,Ansparphase!$BD$57/Ansparphase!$BC$57)))*(1-Parameter!$C$37))*Parameter!$C$36</f>
        <v/>
      </c>
      <c r="AO12" s="40">
        <f>IF(Eingaben!$C$46=1,IF(F12=0,0,MIN(AJ12,Ansparphase!$BB$57*IF(4=0,Eingaben!$C$45,0)+(Ansparphase!$BB$57*(1-Eingaben!$C$45))*$CG$4)),Ansparphase!$BB$57*IF(4=0,Eingaben!$C$45,0))</f>
        <v/>
      </c>
      <c r="AP12" s="40">
        <f>IF(Eingaben!$C$46=1,0,(((Ansparphase!$BA$57*(1-Eingaben!$C$45))+(Ansparphase!$BB$57*(1-Eingaben!$C$45)))*Eingaben!$C$47/10000*12*(1+Eingaben!$C$48)^4*F12)*IF(((Ansparphase!$BA$57*(1-Eingaben!$C$45))+(Ansparphase!$BB$57*(1-Eingaben!$C$45)))=0,0,(Ansparphase!$BB$57*(1-Eingaben!$C$45))/((Ansparphase!$BA$57*(1-Eingaben!$C$45))+(Ansparphase!$BB$57*(1-Eingaben!$C$45)))))</f>
        <v/>
      </c>
      <c r="AQ12" s="40">
        <f>IF(AND(Eingaben!$C$46=2,F12=0),((Ansparphase!$BA$57*(1-Eingaben!$C$45))+(Ansparphase!$BB$57*(1-Eingaben!$C$45)))*Eingaben!$C$47/10000*12*(1+Eingaben!$C$48)^4,0)</f>
        <v/>
      </c>
      <c r="AR12" s="40">
        <f>AI12+AO12*(1-IF(Ansparphase!$BB$57=0,1,MIN(1,$CG$7/Ansparphase!$BB$57)))*Parameter!$C$52+AP12*Parameter!$C$51</f>
        <v/>
      </c>
      <c r="AS12" s="40">
        <f>MAX(0,G12+AR12)</f>
        <v/>
      </c>
      <c r="AT12" s="40">
        <f>MAX(0,(AS12+IF(Eingaben!$C$14=3,Eingaben!$C$15,0))/Parameter!$C$57/D12)</f>
        <v/>
      </c>
      <c r="AU12" s="40">
        <f>Parameter!$C$57*D12*(IF(AT12&lt;=Parameter!$C$18,0,IF(AT12&lt;=Parameter!$C$19,(Parameter!$C$22*(AT12-Parameter!$C$18)/10000+Parameter!$C$23)*(AT12-Parameter!$C$18)/10000,IF(AT12&lt;=Parameter!$C$20,(Parameter!$C$24*(AT12-Parameter!$C$19)/10000+Parameter!$C$25)*(AT12-Parameter!$C$19)/10000+Parameter!$C$26,IF(AT12&lt;=Parameter!$C$21,0.42*AT12-Parameter!$C$27,0.45*AT12-Parameter!$C$28)))))</f>
        <v/>
      </c>
      <c r="AV12" s="40">
        <f>AU12+IF(AU12&lt;=(Parameter!$C$30*Parameter!$C$57*D12),0,MIN(Parameter!$C$29*AU12,Parameter!$C$31*(AU12-(Parameter!$C$30*Parameter!$C$57*D12))))+Eingaben!$C$16*AU12</f>
        <v/>
      </c>
      <c r="AW12" s="40">
        <f>AI12+AK12-(AV12-J12)+AM12-AN12</f>
        <v/>
      </c>
      <c r="AX12" s="40">
        <f>MAX(0,(AX11-AZ11)*(1+Parameter!$C$62))</f>
        <v/>
      </c>
      <c r="AY12" s="40">
        <f>MAX(0,AY11-AY11*IF(AX11=0,0,AZ11/AX11))</f>
        <v/>
      </c>
      <c r="AZ12" s="40">
        <f>IF(F12=0,0,MIN(AX12,Ansparphase!$BG$57*$CG$5))</f>
        <v/>
      </c>
      <c r="BA12" s="40">
        <f>AZ12-IF(AX12=0,0,AY12*AZ12/AX12)</f>
        <v/>
      </c>
      <c r="BB12" s="40">
        <f>MAX(0,BA12*(1-Parameter!$C$37)-Parameter!$C$67)*Parameter!$C$36</f>
        <v/>
      </c>
      <c r="BC12" s="40">
        <f>AZ12-BB12</f>
        <v/>
      </c>
      <c r="BD12" s="38">
        <f>1/(1+Eingaben!$C$40)^C12</f>
        <v/>
      </c>
      <c r="BE12" s="40">
        <f>IF(AND(Eingaben!$C$31=2,F12=0),(Ansparphase!$AY$57+Ansparphase!$AZ$57)*Eingaben!$C$32/10000*12*(1+Eingaben!$C$33)^4,0)</f>
        <v/>
      </c>
      <c r="BF12" s="38">
        <f>1/(1+Parameter!$C$68)^4</f>
        <v/>
      </c>
    </row>
    <row r="13">
      <c r="A13" s="32">
        <f>2026+C13</f>
        <v/>
      </c>
      <c r="B13" s="32">
        <f>Eingaben!$C$6+5</f>
        <v/>
      </c>
      <c r="C13" s="32">
        <f>B13-Eingaben!$C$5</f>
        <v/>
      </c>
      <c r="D13" s="41">
        <f>(1+Eingaben!$C$17)^C13</f>
        <v/>
      </c>
      <c r="E13" s="41">
        <f>(1+Eingaben!$C$13)^C13</f>
        <v/>
      </c>
      <c r="F13" s="32">
        <f>IF(B13&lt;=Eingaben!$C$7,1,0)</f>
        <v/>
      </c>
      <c r="G13" s="43">
        <f>Eingaben!$C$43*(1+Eingaben!$C$40)^C13</f>
        <v/>
      </c>
      <c r="H13" s="43">
        <f>MAX(0,(G13+IF(Eingaben!$C$14=3,Eingaben!$C$15,0))/Parameter!$C$57/D13)</f>
        <v/>
      </c>
      <c r="I13" s="43">
        <f>Parameter!$C$57*D13*(IF(H13&lt;=Parameter!$C$18,0,IF(H13&lt;=Parameter!$C$19,(Parameter!$C$22*(H13-Parameter!$C$18)/10000+Parameter!$C$23)*(H13-Parameter!$C$18)/10000,IF(H13&lt;=Parameter!$C$20,(Parameter!$C$24*(H13-Parameter!$C$19)/10000+Parameter!$C$25)*(H13-Parameter!$C$19)/10000+Parameter!$C$26,IF(H13&lt;=Parameter!$C$21,0.42*H13-Parameter!$C$27,0.45*H13-Parameter!$C$28)))))</f>
        <v/>
      </c>
      <c r="J13" s="43">
        <f>I13+IF(I13&lt;=(Parameter!$C$30*Parameter!$C$57*D13),0,MIN(Parameter!$C$29*I13,Parameter!$C$31*(I13-(Parameter!$C$30*Parameter!$C$57*D13))))+Eingaben!$C$16*I13</f>
        <v/>
      </c>
      <c r="K13" s="43">
        <f>IF(Eingaben!$C$31=1,IF(0=1,Ansparphase!$AY$57,0),(Ansparphase!$AY$57+Ansparphase!$AZ$57)*Eingaben!$C$32/10000*12*(1+Eingaben!$C$33)^5*F13*IF((Ansparphase!$AY$57+Ansparphase!$AZ$57)=0,0,Ansparphase!$AY$57/(Ansparphase!$AY$57+Ansparphase!$AZ$57)))</f>
        <v/>
      </c>
      <c r="L13" s="43">
        <f>IF(Eingaben!$C$31=1,IF(0=1,Ansparphase!$AZ$57,0),(Ansparphase!$AY$57+Ansparphase!$AZ$57)*Eingaben!$C$32/10000*12*(1+Eingaben!$C$33)^5*F13*IF((Ansparphase!$AY$57+Ansparphase!$AZ$57)=0,0,Ansparphase!$AZ$57/(Ansparphase!$AY$57+Ansparphase!$AZ$57)))</f>
        <v/>
      </c>
      <c r="M13" s="43">
        <f>K13+L13</f>
        <v/>
      </c>
      <c r="N13" s="43">
        <f>K13+L13*IF(Eingaben!$C$31=1,(1-IF(Ansparphase!$AZ$57=0,1,MIN(1,$CG$8/Ansparphase!$AZ$57)))*Parameter!$C$52,Parameter!$C$51)</f>
        <v/>
      </c>
      <c r="O13" s="43">
        <f>IF(Eingaben!$C$31=1,IF(5&lt;10,(Ansparphase!$AY$57+Ansparphase!$AZ$57)/120,0),M13/12)</f>
        <v/>
      </c>
      <c r="P13" s="43">
        <f>Eingaben!$C$44/12*(1+Eingaben!$C$13)^C13</f>
        <v/>
      </c>
      <c r="Q13" s="43">
        <f>MAX(0,MIN(O13,Parameter!$C$5/12*E13-P13))</f>
        <v/>
      </c>
      <c r="R13" s="43">
        <f>IF(Eingaben!$C$42=2,0,MAX(0,Q13-Parameter!$C$7*E13)*Parameter!$C$54*12)</f>
        <v/>
      </c>
      <c r="S13" s="43">
        <f>IF(Eingaben!$C$42=2,0,IF(O13&gt;Parameter!$C$7*E13,Q13*Parameter!$C$59*12,0))</f>
        <v/>
      </c>
      <c r="T13" s="43">
        <f>R13+S13</f>
        <v/>
      </c>
      <c r="U13" s="43">
        <f>Ansparphase!$BL$57*Parameter!$C$9*12*(1+Eingaben!$C$13)^(Eingaben!$C$6-Eingaben!$C$5)*(1+Eingaben!$C$13)^5*F13</f>
        <v/>
      </c>
      <c r="V13" s="43">
        <f>U13*Parameter!$C$66</f>
        <v/>
      </c>
      <c r="W13" s="43">
        <f>IF(Eingaben!$C$42=2,0,U13*(Parameter!$C$53+Parameter!$C$59))</f>
        <v/>
      </c>
      <c r="X13" s="43">
        <f>MAX(0,G13-V13+N13-T13+W13)</f>
        <v/>
      </c>
      <c r="Y13" s="43">
        <f>MAX(0,(X13+IF(Eingaben!$C$14=3,Eingaben!$C$15,0))/Parameter!$C$57/D13)</f>
        <v/>
      </c>
      <c r="Z13" s="43">
        <f>Parameter!$C$57*D13*(IF(Y13&lt;=Parameter!$C$18,0,IF(Y13&lt;=Parameter!$C$19,(Parameter!$C$22*(Y13-Parameter!$C$18)/10000+Parameter!$C$23)*(Y13-Parameter!$C$18)/10000,IF(Y13&lt;=Parameter!$C$20,(Parameter!$C$24*(Y13-Parameter!$C$19)/10000+Parameter!$C$25)*(Y13-Parameter!$C$19)/10000+Parameter!$C$26,IF(Y13&lt;=Parameter!$C$21,0.42*Y13-Parameter!$C$27,0.45*Y13-Parameter!$C$28)))))</f>
        <v/>
      </c>
      <c r="AA13" s="43">
        <f>Z13+IF(Z13&lt;=(Parameter!$C$30*Parameter!$C$57*D13),0,MIN(Parameter!$C$29*Z13,Parameter!$C$31*(Z13-(Parameter!$C$30*Parameter!$C$57*D13))))+Eingaben!$C$16*Z13</f>
        <v/>
      </c>
      <c r="AB13" s="43">
        <f>MAX(0,G13-V13+N13/5-T13+W13)</f>
        <v/>
      </c>
      <c r="AC13" s="43">
        <f>MAX(0,(AB13+IF(Eingaben!$C$14=3,Eingaben!$C$15,0))/Parameter!$C$57/D13)</f>
        <v/>
      </c>
      <c r="AD13" s="43">
        <f>Parameter!$C$57*D13*(IF(AC13&lt;=Parameter!$C$18,0,IF(AC13&lt;=Parameter!$C$19,(Parameter!$C$22*(AC13-Parameter!$C$18)/10000+Parameter!$C$23)*(AC13-Parameter!$C$18)/10000,IF(AC13&lt;=Parameter!$C$20,(Parameter!$C$24*(AC13-Parameter!$C$19)/10000+Parameter!$C$25)*(AC13-Parameter!$C$19)/10000+Parameter!$C$26,IF(AC13&lt;=Parameter!$C$21,0.42*AC13-Parameter!$C$27,0.45*AC13-Parameter!$C$28)))))</f>
        <v/>
      </c>
      <c r="AE13" s="43">
        <f>AD13+IF(AD13&lt;=(Parameter!$C$30*Parameter!$C$57*D13),0,MIN(Parameter!$C$29*AD13,Parameter!$C$31*(AD13-(Parameter!$C$30*Parameter!$C$57*D13))))+Eingaben!$C$16*AD13</f>
        <v/>
      </c>
      <c r="AF13" s="43">
        <f>IF(AND(Eingaben!$C$34=1,Eingaben!$C$31=1,M13&gt;0),MIN(AA13-J13,5*(AE13-J13)),AA13-J13)</f>
        <v/>
      </c>
      <c r="AG13" s="43">
        <f>M13-T13-AF13-U13+W13</f>
        <v/>
      </c>
      <c r="AH13" s="43">
        <f>IF(Eingaben!$C$46=2,0,MAX(0,(AH12-AI12)*(1+Parameter!$C$61)))</f>
        <v/>
      </c>
      <c r="AI13" s="43">
        <f>IF(Eingaben!$C$46=1,IF(F13=0,0,MIN(AH13,Ansparphase!$BA$57*IF(5=0,Eingaben!$C$45,0)+(Ansparphase!$BA$57*(1-Eingaben!$C$45))*$CG$4)),Ansparphase!$BA$57*IF(5=0,Eingaben!$C$45,0)+(((Ansparphase!$BA$57*(1-Eingaben!$C$45))+(Ansparphase!$BB$57*(1-Eingaben!$C$45)))*Eingaben!$C$47/10000*12*(1+Eingaben!$C$48)^5*F13)*IF(((Ansparphase!$BA$57*(1-Eingaben!$C$45))+(Ansparphase!$BB$57*(1-Eingaben!$C$45)))=0,0,(Ansparphase!$BA$57*(1-Eingaben!$C$45))/((Ansparphase!$BA$57*(1-Eingaben!$C$45))+(Ansparphase!$BB$57*(1-Eingaben!$C$45)))))</f>
        <v/>
      </c>
      <c r="AJ13" s="43">
        <f>IF(Eingaben!$C$46=2,0,MAX(0,(AJ12-AK12)*(1+Parameter!$C$61)))</f>
        <v/>
      </c>
      <c r="AK13" s="43">
        <f>AO13+AP13</f>
        <v/>
      </c>
      <c r="AL13" s="43">
        <f>MAX(0,(AL12-AM12)*(1+Parameter!$C$62))</f>
        <v/>
      </c>
      <c r="AM13" s="43">
        <f>IF(F13=0,0,MIN(AL13,Ansparphase!$BC$57*$CG$5))</f>
        <v/>
      </c>
      <c r="AN13" s="43">
        <f>MAX(0,AM13*(1-IF(Ansparphase!$BC$57=0,1,MIN(1,Ansparphase!$BD$57/Ansparphase!$BC$57)))*(1-Parameter!$C$37))*Parameter!$C$36</f>
        <v/>
      </c>
      <c r="AO13" s="43">
        <f>IF(Eingaben!$C$46=1,IF(F13=0,0,MIN(AJ13,Ansparphase!$BB$57*IF(5=0,Eingaben!$C$45,0)+(Ansparphase!$BB$57*(1-Eingaben!$C$45))*$CG$4)),Ansparphase!$BB$57*IF(5=0,Eingaben!$C$45,0))</f>
        <v/>
      </c>
      <c r="AP13" s="43">
        <f>IF(Eingaben!$C$46=1,0,(((Ansparphase!$BA$57*(1-Eingaben!$C$45))+(Ansparphase!$BB$57*(1-Eingaben!$C$45)))*Eingaben!$C$47/10000*12*(1+Eingaben!$C$48)^5*F13)*IF(((Ansparphase!$BA$57*(1-Eingaben!$C$45))+(Ansparphase!$BB$57*(1-Eingaben!$C$45)))=0,0,(Ansparphase!$BB$57*(1-Eingaben!$C$45))/((Ansparphase!$BA$57*(1-Eingaben!$C$45))+(Ansparphase!$BB$57*(1-Eingaben!$C$45)))))</f>
        <v/>
      </c>
      <c r="AQ13" s="43">
        <f>IF(AND(Eingaben!$C$46=2,F13=0),((Ansparphase!$BA$57*(1-Eingaben!$C$45))+(Ansparphase!$BB$57*(1-Eingaben!$C$45)))*Eingaben!$C$47/10000*12*(1+Eingaben!$C$48)^5,0)</f>
        <v/>
      </c>
      <c r="AR13" s="43">
        <f>AI13+AO13*(1-IF(Ansparphase!$BB$57=0,1,MIN(1,$CG$7/Ansparphase!$BB$57)))*Parameter!$C$52+AP13*Parameter!$C$51</f>
        <v/>
      </c>
      <c r="AS13" s="43">
        <f>MAX(0,G13+AR13)</f>
        <v/>
      </c>
      <c r="AT13" s="43">
        <f>MAX(0,(AS13+IF(Eingaben!$C$14=3,Eingaben!$C$15,0))/Parameter!$C$57/D13)</f>
        <v/>
      </c>
      <c r="AU13" s="43">
        <f>Parameter!$C$57*D13*(IF(AT13&lt;=Parameter!$C$18,0,IF(AT13&lt;=Parameter!$C$19,(Parameter!$C$22*(AT13-Parameter!$C$18)/10000+Parameter!$C$23)*(AT13-Parameter!$C$18)/10000,IF(AT13&lt;=Parameter!$C$20,(Parameter!$C$24*(AT13-Parameter!$C$19)/10000+Parameter!$C$25)*(AT13-Parameter!$C$19)/10000+Parameter!$C$26,IF(AT13&lt;=Parameter!$C$21,0.42*AT13-Parameter!$C$27,0.45*AT13-Parameter!$C$28)))))</f>
        <v/>
      </c>
      <c r="AV13" s="43">
        <f>AU13+IF(AU13&lt;=(Parameter!$C$30*Parameter!$C$57*D13),0,MIN(Parameter!$C$29*AU13,Parameter!$C$31*(AU13-(Parameter!$C$30*Parameter!$C$57*D13))))+Eingaben!$C$16*AU13</f>
        <v/>
      </c>
      <c r="AW13" s="43">
        <f>AI13+AK13-(AV13-J13)+AM13-AN13</f>
        <v/>
      </c>
      <c r="AX13" s="43">
        <f>MAX(0,(AX12-AZ12)*(1+Parameter!$C$62))</f>
        <v/>
      </c>
      <c r="AY13" s="43">
        <f>MAX(0,AY12-AY12*IF(AX12=0,0,AZ12/AX12))</f>
        <v/>
      </c>
      <c r="AZ13" s="43">
        <f>IF(F13=0,0,MIN(AX13,Ansparphase!$BG$57*$CG$5))</f>
        <v/>
      </c>
      <c r="BA13" s="43">
        <f>AZ13-IF(AX13=0,0,AY13*AZ13/AX13)</f>
        <v/>
      </c>
      <c r="BB13" s="43">
        <f>MAX(0,BA13*(1-Parameter!$C$37)-Parameter!$C$67)*Parameter!$C$36</f>
        <v/>
      </c>
      <c r="BC13" s="43">
        <f>AZ13-BB13</f>
        <v/>
      </c>
      <c r="BD13" s="41">
        <f>1/(1+Eingaben!$C$40)^C13</f>
        <v/>
      </c>
      <c r="BE13" s="43">
        <f>IF(AND(Eingaben!$C$31=2,F13=0),(Ansparphase!$AY$57+Ansparphase!$AZ$57)*Eingaben!$C$32/10000*12*(1+Eingaben!$C$33)^5,0)</f>
        <v/>
      </c>
      <c r="BF13" s="41">
        <f>1/(1+Parameter!$C$68)^5</f>
        <v/>
      </c>
    </row>
    <row r="14">
      <c r="A14" s="30">
        <f>2026+C14</f>
        <v/>
      </c>
      <c r="B14" s="30">
        <f>Eingaben!$C$6+6</f>
        <v/>
      </c>
      <c r="C14" s="30">
        <f>B14-Eingaben!$C$5</f>
        <v/>
      </c>
      <c r="D14" s="38">
        <f>(1+Eingaben!$C$17)^C14</f>
        <v/>
      </c>
      <c r="E14" s="38">
        <f>(1+Eingaben!$C$13)^C14</f>
        <v/>
      </c>
      <c r="F14" s="30">
        <f>IF(B14&lt;=Eingaben!$C$7,1,0)</f>
        <v/>
      </c>
      <c r="G14" s="40">
        <f>Eingaben!$C$43*(1+Eingaben!$C$40)^C14</f>
        <v/>
      </c>
      <c r="H14" s="40">
        <f>MAX(0,(G14+IF(Eingaben!$C$14=3,Eingaben!$C$15,0))/Parameter!$C$57/D14)</f>
        <v/>
      </c>
      <c r="I14" s="40">
        <f>Parameter!$C$57*D14*(IF(H14&lt;=Parameter!$C$18,0,IF(H14&lt;=Parameter!$C$19,(Parameter!$C$22*(H14-Parameter!$C$18)/10000+Parameter!$C$23)*(H14-Parameter!$C$18)/10000,IF(H14&lt;=Parameter!$C$20,(Parameter!$C$24*(H14-Parameter!$C$19)/10000+Parameter!$C$25)*(H14-Parameter!$C$19)/10000+Parameter!$C$26,IF(H14&lt;=Parameter!$C$21,0.42*H14-Parameter!$C$27,0.45*H14-Parameter!$C$28)))))</f>
        <v/>
      </c>
      <c r="J14" s="40">
        <f>I14+IF(I14&lt;=(Parameter!$C$30*Parameter!$C$57*D14),0,MIN(Parameter!$C$29*I14,Parameter!$C$31*(I14-(Parameter!$C$30*Parameter!$C$57*D14))))+Eingaben!$C$16*I14</f>
        <v/>
      </c>
      <c r="K14" s="40">
        <f>IF(Eingaben!$C$31=1,IF(0=1,Ansparphase!$AY$57,0),(Ansparphase!$AY$57+Ansparphase!$AZ$57)*Eingaben!$C$32/10000*12*(1+Eingaben!$C$33)^6*F14*IF((Ansparphase!$AY$57+Ansparphase!$AZ$57)=0,0,Ansparphase!$AY$57/(Ansparphase!$AY$57+Ansparphase!$AZ$57)))</f>
        <v/>
      </c>
      <c r="L14" s="40">
        <f>IF(Eingaben!$C$31=1,IF(0=1,Ansparphase!$AZ$57,0),(Ansparphase!$AY$57+Ansparphase!$AZ$57)*Eingaben!$C$32/10000*12*(1+Eingaben!$C$33)^6*F14*IF((Ansparphase!$AY$57+Ansparphase!$AZ$57)=0,0,Ansparphase!$AZ$57/(Ansparphase!$AY$57+Ansparphase!$AZ$57)))</f>
        <v/>
      </c>
      <c r="M14" s="40">
        <f>K14+L14</f>
        <v/>
      </c>
      <c r="N14" s="40">
        <f>K14+L14*IF(Eingaben!$C$31=1,(1-IF(Ansparphase!$AZ$57=0,1,MIN(1,$CG$8/Ansparphase!$AZ$57)))*Parameter!$C$52,Parameter!$C$51)</f>
        <v/>
      </c>
      <c r="O14" s="40">
        <f>IF(Eingaben!$C$31=1,IF(6&lt;10,(Ansparphase!$AY$57+Ansparphase!$AZ$57)/120,0),M14/12)</f>
        <v/>
      </c>
      <c r="P14" s="40">
        <f>Eingaben!$C$44/12*(1+Eingaben!$C$13)^C14</f>
        <v/>
      </c>
      <c r="Q14" s="40">
        <f>MAX(0,MIN(O14,Parameter!$C$5/12*E14-P14))</f>
        <v/>
      </c>
      <c r="R14" s="40">
        <f>IF(Eingaben!$C$42=2,0,MAX(0,Q14-Parameter!$C$7*E14)*Parameter!$C$54*12)</f>
        <v/>
      </c>
      <c r="S14" s="40">
        <f>IF(Eingaben!$C$42=2,0,IF(O14&gt;Parameter!$C$7*E14,Q14*Parameter!$C$59*12,0))</f>
        <v/>
      </c>
      <c r="T14" s="40">
        <f>R14+S14</f>
        <v/>
      </c>
      <c r="U14" s="40">
        <f>Ansparphase!$BL$57*Parameter!$C$9*12*(1+Eingaben!$C$13)^(Eingaben!$C$6-Eingaben!$C$5)*(1+Eingaben!$C$13)^6*F14</f>
        <v/>
      </c>
      <c r="V14" s="40">
        <f>U14*Parameter!$C$66</f>
        <v/>
      </c>
      <c r="W14" s="40">
        <f>IF(Eingaben!$C$42=2,0,U14*(Parameter!$C$53+Parameter!$C$59))</f>
        <v/>
      </c>
      <c r="X14" s="40">
        <f>MAX(0,G14-V14+N14-T14+W14)</f>
        <v/>
      </c>
      <c r="Y14" s="40">
        <f>MAX(0,(X14+IF(Eingaben!$C$14=3,Eingaben!$C$15,0))/Parameter!$C$57/D14)</f>
        <v/>
      </c>
      <c r="Z14" s="40">
        <f>Parameter!$C$57*D14*(IF(Y14&lt;=Parameter!$C$18,0,IF(Y14&lt;=Parameter!$C$19,(Parameter!$C$22*(Y14-Parameter!$C$18)/10000+Parameter!$C$23)*(Y14-Parameter!$C$18)/10000,IF(Y14&lt;=Parameter!$C$20,(Parameter!$C$24*(Y14-Parameter!$C$19)/10000+Parameter!$C$25)*(Y14-Parameter!$C$19)/10000+Parameter!$C$26,IF(Y14&lt;=Parameter!$C$21,0.42*Y14-Parameter!$C$27,0.45*Y14-Parameter!$C$28)))))</f>
        <v/>
      </c>
      <c r="AA14" s="40">
        <f>Z14+IF(Z14&lt;=(Parameter!$C$30*Parameter!$C$57*D14),0,MIN(Parameter!$C$29*Z14,Parameter!$C$31*(Z14-(Parameter!$C$30*Parameter!$C$57*D14))))+Eingaben!$C$16*Z14</f>
        <v/>
      </c>
      <c r="AB14" s="40">
        <f>MAX(0,G14-V14+N14/5-T14+W14)</f>
        <v/>
      </c>
      <c r="AC14" s="40">
        <f>MAX(0,(AB14+IF(Eingaben!$C$14=3,Eingaben!$C$15,0))/Parameter!$C$57/D14)</f>
        <v/>
      </c>
      <c r="AD14" s="40">
        <f>Parameter!$C$57*D14*(IF(AC14&lt;=Parameter!$C$18,0,IF(AC14&lt;=Parameter!$C$19,(Parameter!$C$22*(AC14-Parameter!$C$18)/10000+Parameter!$C$23)*(AC14-Parameter!$C$18)/10000,IF(AC14&lt;=Parameter!$C$20,(Parameter!$C$24*(AC14-Parameter!$C$19)/10000+Parameter!$C$25)*(AC14-Parameter!$C$19)/10000+Parameter!$C$26,IF(AC14&lt;=Parameter!$C$21,0.42*AC14-Parameter!$C$27,0.45*AC14-Parameter!$C$28)))))</f>
        <v/>
      </c>
      <c r="AE14" s="40">
        <f>AD14+IF(AD14&lt;=(Parameter!$C$30*Parameter!$C$57*D14),0,MIN(Parameter!$C$29*AD14,Parameter!$C$31*(AD14-(Parameter!$C$30*Parameter!$C$57*D14))))+Eingaben!$C$16*AD14</f>
        <v/>
      </c>
      <c r="AF14" s="40">
        <f>IF(AND(Eingaben!$C$34=1,Eingaben!$C$31=1,M14&gt;0),MIN(AA14-J14,5*(AE14-J14)),AA14-J14)</f>
        <v/>
      </c>
      <c r="AG14" s="40">
        <f>M14-T14-AF14-U14+W14</f>
        <v/>
      </c>
      <c r="AH14" s="40">
        <f>IF(Eingaben!$C$46=2,0,MAX(0,(AH13-AI13)*(1+Parameter!$C$61)))</f>
        <v/>
      </c>
      <c r="AI14" s="40">
        <f>IF(Eingaben!$C$46=1,IF(F14=0,0,MIN(AH14,Ansparphase!$BA$57*IF(6=0,Eingaben!$C$45,0)+(Ansparphase!$BA$57*(1-Eingaben!$C$45))*$CG$4)),Ansparphase!$BA$57*IF(6=0,Eingaben!$C$45,0)+(((Ansparphase!$BA$57*(1-Eingaben!$C$45))+(Ansparphase!$BB$57*(1-Eingaben!$C$45)))*Eingaben!$C$47/10000*12*(1+Eingaben!$C$48)^6*F14)*IF(((Ansparphase!$BA$57*(1-Eingaben!$C$45))+(Ansparphase!$BB$57*(1-Eingaben!$C$45)))=0,0,(Ansparphase!$BA$57*(1-Eingaben!$C$45))/((Ansparphase!$BA$57*(1-Eingaben!$C$45))+(Ansparphase!$BB$57*(1-Eingaben!$C$45)))))</f>
        <v/>
      </c>
      <c r="AJ14" s="40">
        <f>IF(Eingaben!$C$46=2,0,MAX(0,(AJ13-AK13)*(1+Parameter!$C$61)))</f>
        <v/>
      </c>
      <c r="AK14" s="40">
        <f>AO14+AP14</f>
        <v/>
      </c>
      <c r="AL14" s="40">
        <f>MAX(0,(AL13-AM13)*(1+Parameter!$C$62))</f>
        <v/>
      </c>
      <c r="AM14" s="40">
        <f>IF(F14=0,0,MIN(AL14,Ansparphase!$BC$57*$CG$5))</f>
        <v/>
      </c>
      <c r="AN14" s="40">
        <f>MAX(0,AM14*(1-IF(Ansparphase!$BC$57=0,1,MIN(1,Ansparphase!$BD$57/Ansparphase!$BC$57)))*(1-Parameter!$C$37))*Parameter!$C$36</f>
        <v/>
      </c>
      <c r="AO14" s="40">
        <f>IF(Eingaben!$C$46=1,IF(F14=0,0,MIN(AJ14,Ansparphase!$BB$57*IF(6=0,Eingaben!$C$45,0)+(Ansparphase!$BB$57*(1-Eingaben!$C$45))*$CG$4)),Ansparphase!$BB$57*IF(6=0,Eingaben!$C$45,0))</f>
        <v/>
      </c>
      <c r="AP14" s="40">
        <f>IF(Eingaben!$C$46=1,0,(((Ansparphase!$BA$57*(1-Eingaben!$C$45))+(Ansparphase!$BB$57*(1-Eingaben!$C$45)))*Eingaben!$C$47/10000*12*(1+Eingaben!$C$48)^6*F14)*IF(((Ansparphase!$BA$57*(1-Eingaben!$C$45))+(Ansparphase!$BB$57*(1-Eingaben!$C$45)))=0,0,(Ansparphase!$BB$57*(1-Eingaben!$C$45))/((Ansparphase!$BA$57*(1-Eingaben!$C$45))+(Ansparphase!$BB$57*(1-Eingaben!$C$45)))))</f>
        <v/>
      </c>
      <c r="AQ14" s="40">
        <f>IF(AND(Eingaben!$C$46=2,F14=0),((Ansparphase!$BA$57*(1-Eingaben!$C$45))+(Ansparphase!$BB$57*(1-Eingaben!$C$45)))*Eingaben!$C$47/10000*12*(1+Eingaben!$C$48)^6,0)</f>
        <v/>
      </c>
      <c r="AR14" s="40">
        <f>AI14+AO14*(1-IF(Ansparphase!$BB$57=0,1,MIN(1,$CG$7/Ansparphase!$BB$57)))*Parameter!$C$52+AP14*Parameter!$C$51</f>
        <v/>
      </c>
      <c r="AS14" s="40">
        <f>MAX(0,G14+AR14)</f>
        <v/>
      </c>
      <c r="AT14" s="40">
        <f>MAX(0,(AS14+IF(Eingaben!$C$14=3,Eingaben!$C$15,0))/Parameter!$C$57/D14)</f>
        <v/>
      </c>
      <c r="AU14" s="40">
        <f>Parameter!$C$57*D14*(IF(AT14&lt;=Parameter!$C$18,0,IF(AT14&lt;=Parameter!$C$19,(Parameter!$C$22*(AT14-Parameter!$C$18)/10000+Parameter!$C$23)*(AT14-Parameter!$C$18)/10000,IF(AT14&lt;=Parameter!$C$20,(Parameter!$C$24*(AT14-Parameter!$C$19)/10000+Parameter!$C$25)*(AT14-Parameter!$C$19)/10000+Parameter!$C$26,IF(AT14&lt;=Parameter!$C$21,0.42*AT14-Parameter!$C$27,0.45*AT14-Parameter!$C$28)))))</f>
        <v/>
      </c>
      <c r="AV14" s="40">
        <f>AU14+IF(AU14&lt;=(Parameter!$C$30*Parameter!$C$57*D14),0,MIN(Parameter!$C$29*AU14,Parameter!$C$31*(AU14-(Parameter!$C$30*Parameter!$C$57*D14))))+Eingaben!$C$16*AU14</f>
        <v/>
      </c>
      <c r="AW14" s="40">
        <f>AI14+AK14-(AV14-J14)+AM14-AN14</f>
        <v/>
      </c>
      <c r="AX14" s="40">
        <f>MAX(0,(AX13-AZ13)*(1+Parameter!$C$62))</f>
        <v/>
      </c>
      <c r="AY14" s="40">
        <f>MAX(0,AY13-AY13*IF(AX13=0,0,AZ13/AX13))</f>
        <v/>
      </c>
      <c r="AZ14" s="40">
        <f>IF(F14=0,0,MIN(AX14,Ansparphase!$BG$57*$CG$5))</f>
        <v/>
      </c>
      <c r="BA14" s="40">
        <f>AZ14-IF(AX14=0,0,AY14*AZ14/AX14)</f>
        <v/>
      </c>
      <c r="BB14" s="40">
        <f>MAX(0,BA14*(1-Parameter!$C$37)-Parameter!$C$67)*Parameter!$C$36</f>
        <v/>
      </c>
      <c r="BC14" s="40">
        <f>AZ14-BB14</f>
        <v/>
      </c>
      <c r="BD14" s="38">
        <f>1/(1+Eingaben!$C$40)^C14</f>
        <v/>
      </c>
      <c r="BE14" s="40">
        <f>IF(AND(Eingaben!$C$31=2,F14=0),(Ansparphase!$AY$57+Ansparphase!$AZ$57)*Eingaben!$C$32/10000*12*(1+Eingaben!$C$33)^6,0)</f>
        <v/>
      </c>
      <c r="BF14" s="38">
        <f>1/(1+Parameter!$C$68)^6</f>
        <v/>
      </c>
    </row>
    <row r="15">
      <c r="A15" s="32">
        <f>2026+C15</f>
        <v/>
      </c>
      <c r="B15" s="32">
        <f>Eingaben!$C$6+7</f>
        <v/>
      </c>
      <c r="C15" s="32">
        <f>B15-Eingaben!$C$5</f>
        <v/>
      </c>
      <c r="D15" s="41">
        <f>(1+Eingaben!$C$17)^C15</f>
        <v/>
      </c>
      <c r="E15" s="41">
        <f>(1+Eingaben!$C$13)^C15</f>
        <v/>
      </c>
      <c r="F15" s="32">
        <f>IF(B15&lt;=Eingaben!$C$7,1,0)</f>
        <v/>
      </c>
      <c r="G15" s="43">
        <f>Eingaben!$C$43*(1+Eingaben!$C$40)^C15</f>
        <v/>
      </c>
      <c r="H15" s="43">
        <f>MAX(0,(G15+IF(Eingaben!$C$14=3,Eingaben!$C$15,0))/Parameter!$C$57/D15)</f>
        <v/>
      </c>
      <c r="I15" s="43">
        <f>Parameter!$C$57*D15*(IF(H15&lt;=Parameter!$C$18,0,IF(H15&lt;=Parameter!$C$19,(Parameter!$C$22*(H15-Parameter!$C$18)/10000+Parameter!$C$23)*(H15-Parameter!$C$18)/10000,IF(H15&lt;=Parameter!$C$20,(Parameter!$C$24*(H15-Parameter!$C$19)/10000+Parameter!$C$25)*(H15-Parameter!$C$19)/10000+Parameter!$C$26,IF(H15&lt;=Parameter!$C$21,0.42*H15-Parameter!$C$27,0.45*H15-Parameter!$C$28)))))</f>
        <v/>
      </c>
      <c r="J15" s="43">
        <f>I15+IF(I15&lt;=(Parameter!$C$30*Parameter!$C$57*D15),0,MIN(Parameter!$C$29*I15,Parameter!$C$31*(I15-(Parameter!$C$30*Parameter!$C$57*D15))))+Eingaben!$C$16*I15</f>
        <v/>
      </c>
      <c r="K15" s="43">
        <f>IF(Eingaben!$C$31=1,IF(0=1,Ansparphase!$AY$57,0),(Ansparphase!$AY$57+Ansparphase!$AZ$57)*Eingaben!$C$32/10000*12*(1+Eingaben!$C$33)^7*F15*IF((Ansparphase!$AY$57+Ansparphase!$AZ$57)=0,0,Ansparphase!$AY$57/(Ansparphase!$AY$57+Ansparphase!$AZ$57)))</f>
        <v/>
      </c>
      <c r="L15" s="43">
        <f>IF(Eingaben!$C$31=1,IF(0=1,Ansparphase!$AZ$57,0),(Ansparphase!$AY$57+Ansparphase!$AZ$57)*Eingaben!$C$32/10000*12*(1+Eingaben!$C$33)^7*F15*IF((Ansparphase!$AY$57+Ansparphase!$AZ$57)=0,0,Ansparphase!$AZ$57/(Ansparphase!$AY$57+Ansparphase!$AZ$57)))</f>
        <v/>
      </c>
      <c r="M15" s="43">
        <f>K15+L15</f>
        <v/>
      </c>
      <c r="N15" s="43">
        <f>K15+L15*IF(Eingaben!$C$31=1,(1-IF(Ansparphase!$AZ$57=0,1,MIN(1,$CG$8/Ansparphase!$AZ$57)))*Parameter!$C$52,Parameter!$C$51)</f>
        <v/>
      </c>
      <c r="O15" s="43">
        <f>IF(Eingaben!$C$31=1,IF(7&lt;10,(Ansparphase!$AY$57+Ansparphase!$AZ$57)/120,0),M15/12)</f>
        <v/>
      </c>
      <c r="P15" s="43">
        <f>Eingaben!$C$44/12*(1+Eingaben!$C$13)^C15</f>
        <v/>
      </c>
      <c r="Q15" s="43">
        <f>MAX(0,MIN(O15,Parameter!$C$5/12*E15-P15))</f>
        <v/>
      </c>
      <c r="R15" s="43">
        <f>IF(Eingaben!$C$42=2,0,MAX(0,Q15-Parameter!$C$7*E15)*Parameter!$C$54*12)</f>
        <v/>
      </c>
      <c r="S15" s="43">
        <f>IF(Eingaben!$C$42=2,0,IF(O15&gt;Parameter!$C$7*E15,Q15*Parameter!$C$59*12,0))</f>
        <v/>
      </c>
      <c r="T15" s="43">
        <f>R15+S15</f>
        <v/>
      </c>
      <c r="U15" s="43">
        <f>Ansparphase!$BL$57*Parameter!$C$9*12*(1+Eingaben!$C$13)^(Eingaben!$C$6-Eingaben!$C$5)*(1+Eingaben!$C$13)^7*F15</f>
        <v/>
      </c>
      <c r="V15" s="43">
        <f>U15*Parameter!$C$66</f>
        <v/>
      </c>
      <c r="W15" s="43">
        <f>IF(Eingaben!$C$42=2,0,U15*(Parameter!$C$53+Parameter!$C$59))</f>
        <v/>
      </c>
      <c r="X15" s="43">
        <f>MAX(0,G15-V15+N15-T15+W15)</f>
        <v/>
      </c>
      <c r="Y15" s="43">
        <f>MAX(0,(X15+IF(Eingaben!$C$14=3,Eingaben!$C$15,0))/Parameter!$C$57/D15)</f>
        <v/>
      </c>
      <c r="Z15" s="43">
        <f>Parameter!$C$57*D15*(IF(Y15&lt;=Parameter!$C$18,0,IF(Y15&lt;=Parameter!$C$19,(Parameter!$C$22*(Y15-Parameter!$C$18)/10000+Parameter!$C$23)*(Y15-Parameter!$C$18)/10000,IF(Y15&lt;=Parameter!$C$20,(Parameter!$C$24*(Y15-Parameter!$C$19)/10000+Parameter!$C$25)*(Y15-Parameter!$C$19)/10000+Parameter!$C$26,IF(Y15&lt;=Parameter!$C$21,0.42*Y15-Parameter!$C$27,0.45*Y15-Parameter!$C$28)))))</f>
        <v/>
      </c>
      <c r="AA15" s="43">
        <f>Z15+IF(Z15&lt;=(Parameter!$C$30*Parameter!$C$57*D15),0,MIN(Parameter!$C$29*Z15,Parameter!$C$31*(Z15-(Parameter!$C$30*Parameter!$C$57*D15))))+Eingaben!$C$16*Z15</f>
        <v/>
      </c>
      <c r="AB15" s="43">
        <f>MAX(0,G15-V15+N15/5-T15+W15)</f>
        <v/>
      </c>
      <c r="AC15" s="43">
        <f>MAX(0,(AB15+IF(Eingaben!$C$14=3,Eingaben!$C$15,0))/Parameter!$C$57/D15)</f>
        <v/>
      </c>
      <c r="AD15" s="43">
        <f>Parameter!$C$57*D15*(IF(AC15&lt;=Parameter!$C$18,0,IF(AC15&lt;=Parameter!$C$19,(Parameter!$C$22*(AC15-Parameter!$C$18)/10000+Parameter!$C$23)*(AC15-Parameter!$C$18)/10000,IF(AC15&lt;=Parameter!$C$20,(Parameter!$C$24*(AC15-Parameter!$C$19)/10000+Parameter!$C$25)*(AC15-Parameter!$C$19)/10000+Parameter!$C$26,IF(AC15&lt;=Parameter!$C$21,0.42*AC15-Parameter!$C$27,0.45*AC15-Parameter!$C$28)))))</f>
        <v/>
      </c>
      <c r="AE15" s="43">
        <f>AD15+IF(AD15&lt;=(Parameter!$C$30*Parameter!$C$57*D15),0,MIN(Parameter!$C$29*AD15,Parameter!$C$31*(AD15-(Parameter!$C$30*Parameter!$C$57*D15))))+Eingaben!$C$16*AD15</f>
        <v/>
      </c>
      <c r="AF15" s="43">
        <f>IF(AND(Eingaben!$C$34=1,Eingaben!$C$31=1,M15&gt;0),MIN(AA15-J15,5*(AE15-J15)),AA15-J15)</f>
        <v/>
      </c>
      <c r="AG15" s="43">
        <f>M15-T15-AF15-U15+W15</f>
        <v/>
      </c>
      <c r="AH15" s="43">
        <f>IF(Eingaben!$C$46=2,0,MAX(0,(AH14-AI14)*(1+Parameter!$C$61)))</f>
        <v/>
      </c>
      <c r="AI15" s="43">
        <f>IF(Eingaben!$C$46=1,IF(F15=0,0,MIN(AH15,Ansparphase!$BA$57*IF(7=0,Eingaben!$C$45,0)+(Ansparphase!$BA$57*(1-Eingaben!$C$45))*$CG$4)),Ansparphase!$BA$57*IF(7=0,Eingaben!$C$45,0)+(((Ansparphase!$BA$57*(1-Eingaben!$C$45))+(Ansparphase!$BB$57*(1-Eingaben!$C$45)))*Eingaben!$C$47/10000*12*(1+Eingaben!$C$48)^7*F15)*IF(((Ansparphase!$BA$57*(1-Eingaben!$C$45))+(Ansparphase!$BB$57*(1-Eingaben!$C$45)))=0,0,(Ansparphase!$BA$57*(1-Eingaben!$C$45))/((Ansparphase!$BA$57*(1-Eingaben!$C$45))+(Ansparphase!$BB$57*(1-Eingaben!$C$45)))))</f>
        <v/>
      </c>
      <c r="AJ15" s="43">
        <f>IF(Eingaben!$C$46=2,0,MAX(0,(AJ14-AK14)*(1+Parameter!$C$61)))</f>
        <v/>
      </c>
      <c r="AK15" s="43">
        <f>AO15+AP15</f>
        <v/>
      </c>
      <c r="AL15" s="43">
        <f>MAX(0,(AL14-AM14)*(1+Parameter!$C$62))</f>
        <v/>
      </c>
      <c r="AM15" s="43">
        <f>IF(F15=0,0,MIN(AL15,Ansparphase!$BC$57*$CG$5))</f>
        <v/>
      </c>
      <c r="AN15" s="43">
        <f>MAX(0,AM15*(1-IF(Ansparphase!$BC$57=0,1,MIN(1,Ansparphase!$BD$57/Ansparphase!$BC$57)))*(1-Parameter!$C$37))*Parameter!$C$36</f>
        <v/>
      </c>
      <c r="AO15" s="43">
        <f>IF(Eingaben!$C$46=1,IF(F15=0,0,MIN(AJ15,Ansparphase!$BB$57*IF(7=0,Eingaben!$C$45,0)+(Ansparphase!$BB$57*(1-Eingaben!$C$45))*$CG$4)),Ansparphase!$BB$57*IF(7=0,Eingaben!$C$45,0))</f>
        <v/>
      </c>
      <c r="AP15" s="43">
        <f>IF(Eingaben!$C$46=1,0,(((Ansparphase!$BA$57*(1-Eingaben!$C$45))+(Ansparphase!$BB$57*(1-Eingaben!$C$45)))*Eingaben!$C$47/10000*12*(1+Eingaben!$C$48)^7*F15)*IF(((Ansparphase!$BA$57*(1-Eingaben!$C$45))+(Ansparphase!$BB$57*(1-Eingaben!$C$45)))=0,0,(Ansparphase!$BB$57*(1-Eingaben!$C$45))/((Ansparphase!$BA$57*(1-Eingaben!$C$45))+(Ansparphase!$BB$57*(1-Eingaben!$C$45)))))</f>
        <v/>
      </c>
      <c r="AQ15" s="43">
        <f>IF(AND(Eingaben!$C$46=2,F15=0),((Ansparphase!$BA$57*(1-Eingaben!$C$45))+(Ansparphase!$BB$57*(1-Eingaben!$C$45)))*Eingaben!$C$47/10000*12*(1+Eingaben!$C$48)^7,0)</f>
        <v/>
      </c>
      <c r="AR15" s="43">
        <f>AI15+AO15*(1-IF(Ansparphase!$BB$57=0,1,MIN(1,$CG$7/Ansparphase!$BB$57)))*Parameter!$C$52+AP15*Parameter!$C$51</f>
        <v/>
      </c>
      <c r="AS15" s="43">
        <f>MAX(0,G15+AR15)</f>
        <v/>
      </c>
      <c r="AT15" s="43">
        <f>MAX(0,(AS15+IF(Eingaben!$C$14=3,Eingaben!$C$15,0))/Parameter!$C$57/D15)</f>
        <v/>
      </c>
      <c r="AU15" s="43">
        <f>Parameter!$C$57*D15*(IF(AT15&lt;=Parameter!$C$18,0,IF(AT15&lt;=Parameter!$C$19,(Parameter!$C$22*(AT15-Parameter!$C$18)/10000+Parameter!$C$23)*(AT15-Parameter!$C$18)/10000,IF(AT15&lt;=Parameter!$C$20,(Parameter!$C$24*(AT15-Parameter!$C$19)/10000+Parameter!$C$25)*(AT15-Parameter!$C$19)/10000+Parameter!$C$26,IF(AT15&lt;=Parameter!$C$21,0.42*AT15-Parameter!$C$27,0.45*AT15-Parameter!$C$28)))))</f>
        <v/>
      </c>
      <c r="AV15" s="43">
        <f>AU15+IF(AU15&lt;=(Parameter!$C$30*Parameter!$C$57*D15),0,MIN(Parameter!$C$29*AU15,Parameter!$C$31*(AU15-(Parameter!$C$30*Parameter!$C$57*D15))))+Eingaben!$C$16*AU15</f>
        <v/>
      </c>
      <c r="AW15" s="43">
        <f>AI15+AK15-(AV15-J15)+AM15-AN15</f>
        <v/>
      </c>
      <c r="AX15" s="43">
        <f>MAX(0,(AX14-AZ14)*(1+Parameter!$C$62))</f>
        <v/>
      </c>
      <c r="AY15" s="43">
        <f>MAX(0,AY14-AY14*IF(AX14=0,0,AZ14/AX14))</f>
        <v/>
      </c>
      <c r="AZ15" s="43">
        <f>IF(F15=0,0,MIN(AX15,Ansparphase!$BG$57*$CG$5))</f>
        <v/>
      </c>
      <c r="BA15" s="43">
        <f>AZ15-IF(AX15=0,0,AY15*AZ15/AX15)</f>
        <v/>
      </c>
      <c r="BB15" s="43">
        <f>MAX(0,BA15*(1-Parameter!$C$37)-Parameter!$C$67)*Parameter!$C$36</f>
        <v/>
      </c>
      <c r="BC15" s="43">
        <f>AZ15-BB15</f>
        <v/>
      </c>
      <c r="BD15" s="41">
        <f>1/(1+Eingaben!$C$40)^C15</f>
        <v/>
      </c>
      <c r="BE15" s="43">
        <f>IF(AND(Eingaben!$C$31=2,F15=0),(Ansparphase!$AY$57+Ansparphase!$AZ$57)*Eingaben!$C$32/10000*12*(1+Eingaben!$C$33)^7,0)</f>
        <v/>
      </c>
      <c r="BF15" s="41">
        <f>1/(1+Parameter!$C$68)^7</f>
        <v/>
      </c>
    </row>
    <row r="16">
      <c r="A16" s="30">
        <f>2026+C16</f>
        <v/>
      </c>
      <c r="B16" s="30">
        <f>Eingaben!$C$6+8</f>
        <v/>
      </c>
      <c r="C16" s="30">
        <f>B16-Eingaben!$C$5</f>
        <v/>
      </c>
      <c r="D16" s="38">
        <f>(1+Eingaben!$C$17)^C16</f>
        <v/>
      </c>
      <c r="E16" s="38">
        <f>(1+Eingaben!$C$13)^C16</f>
        <v/>
      </c>
      <c r="F16" s="30">
        <f>IF(B16&lt;=Eingaben!$C$7,1,0)</f>
        <v/>
      </c>
      <c r="G16" s="40">
        <f>Eingaben!$C$43*(1+Eingaben!$C$40)^C16</f>
        <v/>
      </c>
      <c r="H16" s="40">
        <f>MAX(0,(G16+IF(Eingaben!$C$14=3,Eingaben!$C$15,0))/Parameter!$C$57/D16)</f>
        <v/>
      </c>
      <c r="I16" s="40">
        <f>Parameter!$C$57*D16*(IF(H16&lt;=Parameter!$C$18,0,IF(H16&lt;=Parameter!$C$19,(Parameter!$C$22*(H16-Parameter!$C$18)/10000+Parameter!$C$23)*(H16-Parameter!$C$18)/10000,IF(H16&lt;=Parameter!$C$20,(Parameter!$C$24*(H16-Parameter!$C$19)/10000+Parameter!$C$25)*(H16-Parameter!$C$19)/10000+Parameter!$C$26,IF(H16&lt;=Parameter!$C$21,0.42*H16-Parameter!$C$27,0.45*H16-Parameter!$C$28)))))</f>
        <v/>
      </c>
      <c r="J16" s="40">
        <f>I16+IF(I16&lt;=(Parameter!$C$30*Parameter!$C$57*D16),0,MIN(Parameter!$C$29*I16,Parameter!$C$31*(I16-(Parameter!$C$30*Parameter!$C$57*D16))))+Eingaben!$C$16*I16</f>
        <v/>
      </c>
      <c r="K16" s="40">
        <f>IF(Eingaben!$C$31=1,IF(0=1,Ansparphase!$AY$57,0),(Ansparphase!$AY$57+Ansparphase!$AZ$57)*Eingaben!$C$32/10000*12*(1+Eingaben!$C$33)^8*F16*IF((Ansparphase!$AY$57+Ansparphase!$AZ$57)=0,0,Ansparphase!$AY$57/(Ansparphase!$AY$57+Ansparphase!$AZ$57)))</f>
        <v/>
      </c>
      <c r="L16" s="40">
        <f>IF(Eingaben!$C$31=1,IF(0=1,Ansparphase!$AZ$57,0),(Ansparphase!$AY$57+Ansparphase!$AZ$57)*Eingaben!$C$32/10000*12*(1+Eingaben!$C$33)^8*F16*IF((Ansparphase!$AY$57+Ansparphase!$AZ$57)=0,0,Ansparphase!$AZ$57/(Ansparphase!$AY$57+Ansparphase!$AZ$57)))</f>
        <v/>
      </c>
      <c r="M16" s="40">
        <f>K16+L16</f>
        <v/>
      </c>
      <c r="N16" s="40">
        <f>K16+L16*IF(Eingaben!$C$31=1,(1-IF(Ansparphase!$AZ$57=0,1,MIN(1,$CG$8/Ansparphase!$AZ$57)))*Parameter!$C$52,Parameter!$C$51)</f>
        <v/>
      </c>
      <c r="O16" s="40">
        <f>IF(Eingaben!$C$31=1,IF(8&lt;10,(Ansparphase!$AY$57+Ansparphase!$AZ$57)/120,0),M16/12)</f>
        <v/>
      </c>
      <c r="P16" s="40">
        <f>Eingaben!$C$44/12*(1+Eingaben!$C$13)^C16</f>
        <v/>
      </c>
      <c r="Q16" s="40">
        <f>MAX(0,MIN(O16,Parameter!$C$5/12*E16-P16))</f>
        <v/>
      </c>
      <c r="R16" s="40">
        <f>IF(Eingaben!$C$42=2,0,MAX(0,Q16-Parameter!$C$7*E16)*Parameter!$C$54*12)</f>
        <v/>
      </c>
      <c r="S16" s="40">
        <f>IF(Eingaben!$C$42=2,0,IF(O16&gt;Parameter!$C$7*E16,Q16*Parameter!$C$59*12,0))</f>
        <v/>
      </c>
      <c r="T16" s="40">
        <f>R16+S16</f>
        <v/>
      </c>
      <c r="U16" s="40">
        <f>Ansparphase!$BL$57*Parameter!$C$9*12*(1+Eingaben!$C$13)^(Eingaben!$C$6-Eingaben!$C$5)*(1+Eingaben!$C$13)^8*F16</f>
        <v/>
      </c>
      <c r="V16" s="40">
        <f>U16*Parameter!$C$66</f>
        <v/>
      </c>
      <c r="W16" s="40">
        <f>IF(Eingaben!$C$42=2,0,U16*(Parameter!$C$53+Parameter!$C$59))</f>
        <v/>
      </c>
      <c r="X16" s="40">
        <f>MAX(0,G16-V16+N16-T16+W16)</f>
        <v/>
      </c>
      <c r="Y16" s="40">
        <f>MAX(0,(X16+IF(Eingaben!$C$14=3,Eingaben!$C$15,0))/Parameter!$C$57/D16)</f>
        <v/>
      </c>
      <c r="Z16" s="40">
        <f>Parameter!$C$57*D16*(IF(Y16&lt;=Parameter!$C$18,0,IF(Y16&lt;=Parameter!$C$19,(Parameter!$C$22*(Y16-Parameter!$C$18)/10000+Parameter!$C$23)*(Y16-Parameter!$C$18)/10000,IF(Y16&lt;=Parameter!$C$20,(Parameter!$C$24*(Y16-Parameter!$C$19)/10000+Parameter!$C$25)*(Y16-Parameter!$C$19)/10000+Parameter!$C$26,IF(Y16&lt;=Parameter!$C$21,0.42*Y16-Parameter!$C$27,0.45*Y16-Parameter!$C$28)))))</f>
        <v/>
      </c>
      <c r="AA16" s="40">
        <f>Z16+IF(Z16&lt;=(Parameter!$C$30*Parameter!$C$57*D16),0,MIN(Parameter!$C$29*Z16,Parameter!$C$31*(Z16-(Parameter!$C$30*Parameter!$C$57*D16))))+Eingaben!$C$16*Z16</f>
        <v/>
      </c>
      <c r="AB16" s="40">
        <f>MAX(0,G16-V16+N16/5-T16+W16)</f>
        <v/>
      </c>
      <c r="AC16" s="40">
        <f>MAX(0,(AB16+IF(Eingaben!$C$14=3,Eingaben!$C$15,0))/Parameter!$C$57/D16)</f>
        <v/>
      </c>
      <c r="AD16" s="40">
        <f>Parameter!$C$57*D16*(IF(AC16&lt;=Parameter!$C$18,0,IF(AC16&lt;=Parameter!$C$19,(Parameter!$C$22*(AC16-Parameter!$C$18)/10000+Parameter!$C$23)*(AC16-Parameter!$C$18)/10000,IF(AC16&lt;=Parameter!$C$20,(Parameter!$C$24*(AC16-Parameter!$C$19)/10000+Parameter!$C$25)*(AC16-Parameter!$C$19)/10000+Parameter!$C$26,IF(AC16&lt;=Parameter!$C$21,0.42*AC16-Parameter!$C$27,0.45*AC16-Parameter!$C$28)))))</f>
        <v/>
      </c>
      <c r="AE16" s="40">
        <f>AD16+IF(AD16&lt;=(Parameter!$C$30*Parameter!$C$57*D16),0,MIN(Parameter!$C$29*AD16,Parameter!$C$31*(AD16-(Parameter!$C$30*Parameter!$C$57*D16))))+Eingaben!$C$16*AD16</f>
        <v/>
      </c>
      <c r="AF16" s="40">
        <f>IF(AND(Eingaben!$C$34=1,Eingaben!$C$31=1,M16&gt;0),MIN(AA16-J16,5*(AE16-J16)),AA16-J16)</f>
        <v/>
      </c>
      <c r="AG16" s="40">
        <f>M16-T16-AF16-U16+W16</f>
        <v/>
      </c>
      <c r="AH16" s="40">
        <f>IF(Eingaben!$C$46=2,0,MAX(0,(AH15-AI15)*(1+Parameter!$C$61)))</f>
        <v/>
      </c>
      <c r="AI16" s="40">
        <f>IF(Eingaben!$C$46=1,IF(F16=0,0,MIN(AH16,Ansparphase!$BA$57*IF(8=0,Eingaben!$C$45,0)+(Ansparphase!$BA$57*(1-Eingaben!$C$45))*$CG$4)),Ansparphase!$BA$57*IF(8=0,Eingaben!$C$45,0)+(((Ansparphase!$BA$57*(1-Eingaben!$C$45))+(Ansparphase!$BB$57*(1-Eingaben!$C$45)))*Eingaben!$C$47/10000*12*(1+Eingaben!$C$48)^8*F16)*IF(((Ansparphase!$BA$57*(1-Eingaben!$C$45))+(Ansparphase!$BB$57*(1-Eingaben!$C$45)))=0,0,(Ansparphase!$BA$57*(1-Eingaben!$C$45))/((Ansparphase!$BA$57*(1-Eingaben!$C$45))+(Ansparphase!$BB$57*(1-Eingaben!$C$45)))))</f>
        <v/>
      </c>
      <c r="AJ16" s="40">
        <f>IF(Eingaben!$C$46=2,0,MAX(0,(AJ15-AK15)*(1+Parameter!$C$61)))</f>
        <v/>
      </c>
      <c r="AK16" s="40">
        <f>AO16+AP16</f>
        <v/>
      </c>
      <c r="AL16" s="40">
        <f>MAX(0,(AL15-AM15)*(1+Parameter!$C$62))</f>
        <v/>
      </c>
      <c r="AM16" s="40">
        <f>IF(F16=0,0,MIN(AL16,Ansparphase!$BC$57*$CG$5))</f>
        <v/>
      </c>
      <c r="AN16" s="40">
        <f>MAX(0,AM16*(1-IF(Ansparphase!$BC$57=0,1,MIN(1,Ansparphase!$BD$57/Ansparphase!$BC$57)))*(1-Parameter!$C$37))*Parameter!$C$36</f>
        <v/>
      </c>
      <c r="AO16" s="40">
        <f>IF(Eingaben!$C$46=1,IF(F16=0,0,MIN(AJ16,Ansparphase!$BB$57*IF(8=0,Eingaben!$C$45,0)+(Ansparphase!$BB$57*(1-Eingaben!$C$45))*$CG$4)),Ansparphase!$BB$57*IF(8=0,Eingaben!$C$45,0))</f>
        <v/>
      </c>
      <c r="AP16" s="40">
        <f>IF(Eingaben!$C$46=1,0,(((Ansparphase!$BA$57*(1-Eingaben!$C$45))+(Ansparphase!$BB$57*(1-Eingaben!$C$45)))*Eingaben!$C$47/10000*12*(1+Eingaben!$C$48)^8*F16)*IF(((Ansparphase!$BA$57*(1-Eingaben!$C$45))+(Ansparphase!$BB$57*(1-Eingaben!$C$45)))=0,0,(Ansparphase!$BB$57*(1-Eingaben!$C$45))/((Ansparphase!$BA$57*(1-Eingaben!$C$45))+(Ansparphase!$BB$57*(1-Eingaben!$C$45)))))</f>
        <v/>
      </c>
      <c r="AQ16" s="40">
        <f>IF(AND(Eingaben!$C$46=2,F16=0),((Ansparphase!$BA$57*(1-Eingaben!$C$45))+(Ansparphase!$BB$57*(1-Eingaben!$C$45)))*Eingaben!$C$47/10000*12*(1+Eingaben!$C$48)^8,0)</f>
        <v/>
      </c>
      <c r="AR16" s="40">
        <f>AI16+AO16*(1-IF(Ansparphase!$BB$57=0,1,MIN(1,$CG$7/Ansparphase!$BB$57)))*Parameter!$C$52+AP16*Parameter!$C$51</f>
        <v/>
      </c>
      <c r="AS16" s="40">
        <f>MAX(0,G16+AR16)</f>
        <v/>
      </c>
      <c r="AT16" s="40">
        <f>MAX(0,(AS16+IF(Eingaben!$C$14=3,Eingaben!$C$15,0))/Parameter!$C$57/D16)</f>
        <v/>
      </c>
      <c r="AU16" s="40">
        <f>Parameter!$C$57*D16*(IF(AT16&lt;=Parameter!$C$18,0,IF(AT16&lt;=Parameter!$C$19,(Parameter!$C$22*(AT16-Parameter!$C$18)/10000+Parameter!$C$23)*(AT16-Parameter!$C$18)/10000,IF(AT16&lt;=Parameter!$C$20,(Parameter!$C$24*(AT16-Parameter!$C$19)/10000+Parameter!$C$25)*(AT16-Parameter!$C$19)/10000+Parameter!$C$26,IF(AT16&lt;=Parameter!$C$21,0.42*AT16-Parameter!$C$27,0.45*AT16-Parameter!$C$28)))))</f>
        <v/>
      </c>
      <c r="AV16" s="40">
        <f>AU16+IF(AU16&lt;=(Parameter!$C$30*Parameter!$C$57*D16),0,MIN(Parameter!$C$29*AU16,Parameter!$C$31*(AU16-(Parameter!$C$30*Parameter!$C$57*D16))))+Eingaben!$C$16*AU16</f>
        <v/>
      </c>
      <c r="AW16" s="40">
        <f>AI16+AK16-(AV16-J16)+AM16-AN16</f>
        <v/>
      </c>
      <c r="AX16" s="40">
        <f>MAX(0,(AX15-AZ15)*(1+Parameter!$C$62))</f>
        <v/>
      </c>
      <c r="AY16" s="40">
        <f>MAX(0,AY15-AY15*IF(AX15=0,0,AZ15/AX15))</f>
        <v/>
      </c>
      <c r="AZ16" s="40">
        <f>IF(F16=0,0,MIN(AX16,Ansparphase!$BG$57*$CG$5))</f>
        <v/>
      </c>
      <c r="BA16" s="40">
        <f>AZ16-IF(AX16=0,0,AY16*AZ16/AX16)</f>
        <v/>
      </c>
      <c r="BB16" s="40">
        <f>MAX(0,BA16*(1-Parameter!$C$37)-Parameter!$C$67)*Parameter!$C$36</f>
        <v/>
      </c>
      <c r="BC16" s="40">
        <f>AZ16-BB16</f>
        <v/>
      </c>
      <c r="BD16" s="38">
        <f>1/(1+Eingaben!$C$40)^C16</f>
        <v/>
      </c>
      <c r="BE16" s="40">
        <f>IF(AND(Eingaben!$C$31=2,F16=0),(Ansparphase!$AY$57+Ansparphase!$AZ$57)*Eingaben!$C$32/10000*12*(1+Eingaben!$C$33)^8,0)</f>
        <v/>
      </c>
      <c r="BF16" s="38">
        <f>1/(1+Parameter!$C$68)^8</f>
        <v/>
      </c>
    </row>
    <row r="17">
      <c r="A17" s="32">
        <f>2026+C17</f>
        <v/>
      </c>
      <c r="B17" s="32">
        <f>Eingaben!$C$6+9</f>
        <v/>
      </c>
      <c r="C17" s="32">
        <f>B17-Eingaben!$C$5</f>
        <v/>
      </c>
      <c r="D17" s="41">
        <f>(1+Eingaben!$C$17)^C17</f>
        <v/>
      </c>
      <c r="E17" s="41">
        <f>(1+Eingaben!$C$13)^C17</f>
        <v/>
      </c>
      <c r="F17" s="32">
        <f>IF(B17&lt;=Eingaben!$C$7,1,0)</f>
        <v/>
      </c>
      <c r="G17" s="43">
        <f>Eingaben!$C$43*(1+Eingaben!$C$40)^C17</f>
        <v/>
      </c>
      <c r="H17" s="43">
        <f>MAX(0,(G17+IF(Eingaben!$C$14=3,Eingaben!$C$15,0))/Parameter!$C$57/D17)</f>
        <v/>
      </c>
      <c r="I17" s="43">
        <f>Parameter!$C$57*D17*(IF(H17&lt;=Parameter!$C$18,0,IF(H17&lt;=Parameter!$C$19,(Parameter!$C$22*(H17-Parameter!$C$18)/10000+Parameter!$C$23)*(H17-Parameter!$C$18)/10000,IF(H17&lt;=Parameter!$C$20,(Parameter!$C$24*(H17-Parameter!$C$19)/10000+Parameter!$C$25)*(H17-Parameter!$C$19)/10000+Parameter!$C$26,IF(H17&lt;=Parameter!$C$21,0.42*H17-Parameter!$C$27,0.45*H17-Parameter!$C$28)))))</f>
        <v/>
      </c>
      <c r="J17" s="43">
        <f>I17+IF(I17&lt;=(Parameter!$C$30*Parameter!$C$57*D17),0,MIN(Parameter!$C$29*I17,Parameter!$C$31*(I17-(Parameter!$C$30*Parameter!$C$57*D17))))+Eingaben!$C$16*I17</f>
        <v/>
      </c>
      <c r="K17" s="43">
        <f>IF(Eingaben!$C$31=1,IF(0=1,Ansparphase!$AY$57,0),(Ansparphase!$AY$57+Ansparphase!$AZ$57)*Eingaben!$C$32/10000*12*(1+Eingaben!$C$33)^9*F17*IF((Ansparphase!$AY$57+Ansparphase!$AZ$57)=0,0,Ansparphase!$AY$57/(Ansparphase!$AY$57+Ansparphase!$AZ$57)))</f>
        <v/>
      </c>
      <c r="L17" s="43">
        <f>IF(Eingaben!$C$31=1,IF(0=1,Ansparphase!$AZ$57,0),(Ansparphase!$AY$57+Ansparphase!$AZ$57)*Eingaben!$C$32/10000*12*(1+Eingaben!$C$33)^9*F17*IF((Ansparphase!$AY$57+Ansparphase!$AZ$57)=0,0,Ansparphase!$AZ$57/(Ansparphase!$AY$57+Ansparphase!$AZ$57)))</f>
        <v/>
      </c>
      <c r="M17" s="43">
        <f>K17+L17</f>
        <v/>
      </c>
      <c r="N17" s="43">
        <f>K17+L17*IF(Eingaben!$C$31=1,(1-IF(Ansparphase!$AZ$57=0,1,MIN(1,$CG$8/Ansparphase!$AZ$57)))*Parameter!$C$52,Parameter!$C$51)</f>
        <v/>
      </c>
      <c r="O17" s="43">
        <f>IF(Eingaben!$C$31=1,IF(9&lt;10,(Ansparphase!$AY$57+Ansparphase!$AZ$57)/120,0),M17/12)</f>
        <v/>
      </c>
      <c r="P17" s="43">
        <f>Eingaben!$C$44/12*(1+Eingaben!$C$13)^C17</f>
        <v/>
      </c>
      <c r="Q17" s="43">
        <f>MAX(0,MIN(O17,Parameter!$C$5/12*E17-P17))</f>
        <v/>
      </c>
      <c r="R17" s="43">
        <f>IF(Eingaben!$C$42=2,0,MAX(0,Q17-Parameter!$C$7*E17)*Parameter!$C$54*12)</f>
        <v/>
      </c>
      <c r="S17" s="43">
        <f>IF(Eingaben!$C$42=2,0,IF(O17&gt;Parameter!$C$7*E17,Q17*Parameter!$C$59*12,0))</f>
        <v/>
      </c>
      <c r="T17" s="43">
        <f>R17+S17</f>
        <v/>
      </c>
      <c r="U17" s="43">
        <f>Ansparphase!$BL$57*Parameter!$C$9*12*(1+Eingaben!$C$13)^(Eingaben!$C$6-Eingaben!$C$5)*(1+Eingaben!$C$13)^9*F17</f>
        <v/>
      </c>
      <c r="V17" s="43">
        <f>U17*Parameter!$C$66</f>
        <v/>
      </c>
      <c r="W17" s="43">
        <f>IF(Eingaben!$C$42=2,0,U17*(Parameter!$C$53+Parameter!$C$59))</f>
        <v/>
      </c>
      <c r="X17" s="43">
        <f>MAX(0,G17-V17+N17-T17+W17)</f>
        <v/>
      </c>
      <c r="Y17" s="43">
        <f>MAX(0,(X17+IF(Eingaben!$C$14=3,Eingaben!$C$15,0))/Parameter!$C$57/D17)</f>
        <v/>
      </c>
      <c r="Z17" s="43">
        <f>Parameter!$C$57*D17*(IF(Y17&lt;=Parameter!$C$18,0,IF(Y17&lt;=Parameter!$C$19,(Parameter!$C$22*(Y17-Parameter!$C$18)/10000+Parameter!$C$23)*(Y17-Parameter!$C$18)/10000,IF(Y17&lt;=Parameter!$C$20,(Parameter!$C$24*(Y17-Parameter!$C$19)/10000+Parameter!$C$25)*(Y17-Parameter!$C$19)/10000+Parameter!$C$26,IF(Y17&lt;=Parameter!$C$21,0.42*Y17-Parameter!$C$27,0.45*Y17-Parameter!$C$28)))))</f>
        <v/>
      </c>
      <c r="AA17" s="43">
        <f>Z17+IF(Z17&lt;=(Parameter!$C$30*Parameter!$C$57*D17),0,MIN(Parameter!$C$29*Z17,Parameter!$C$31*(Z17-(Parameter!$C$30*Parameter!$C$57*D17))))+Eingaben!$C$16*Z17</f>
        <v/>
      </c>
      <c r="AB17" s="43">
        <f>MAX(0,G17-V17+N17/5-T17+W17)</f>
        <v/>
      </c>
      <c r="AC17" s="43">
        <f>MAX(0,(AB17+IF(Eingaben!$C$14=3,Eingaben!$C$15,0))/Parameter!$C$57/D17)</f>
        <v/>
      </c>
      <c r="AD17" s="43">
        <f>Parameter!$C$57*D17*(IF(AC17&lt;=Parameter!$C$18,0,IF(AC17&lt;=Parameter!$C$19,(Parameter!$C$22*(AC17-Parameter!$C$18)/10000+Parameter!$C$23)*(AC17-Parameter!$C$18)/10000,IF(AC17&lt;=Parameter!$C$20,(Parameter!$C$24*(AC17-Parameter!$C$19)/10000+Parameter!$C$25)*(AC17-Parameter!$C$19)/10000+Parameter!$C$26,IF(AC17&lt;=Parameter!$C$21,0.42*AC17-Parameter!$C$27,0.45*AC17-Parameter!$C$28)))))</f>
        <v/>
      </c>
      <c r="AE17" s="43">
        <f>AD17+IF(AD17&lt;=(Parameter!$C$30*Parameter!$C$57*D17),0,MIN(Parameter!$C$29*AD17,Parameter!$C$31*(AD17-(Parameter!$C$30*Parameter!$C$57*D17))))+Eingaben!$C$16*AD17</f>
        <v/>
      </c>
      <c r="AF17" s="43">
        <f>IF(AND(Eingaben!$C$34=1,Eingaben!$C$31=1,M17&gt;0),MIN(AA17-J17,5*(AE17-J17)),AA17-J17)</f>
        <v/>
      </c>
      <c r="AG17" s="43">
        <f>M17-T17-AF17-U17+W17</f>
        <v/>
      </c>
      <c r="AH17" s="43">
        <f>IF(Eingaben!$C$46=2,0,MAX(0,(AH16-AI16)*(1+Parameter!$C$61)))</f>
        <v/>
      </c>
      <c r="AI17" s="43">
        <f>IF(Eingaben!$C$46=1,IF(F17=0,0,MIN(AH17,Ansparphase!$BA$57*IF(9=0,Eingaben!$C$45,0)+(Ansparphase!$BA$57*(1-Eingaben!$C$45))*$CG$4)),Ansparphase!$BA$57*IF(9=0,Eingaben!$C$45,0)+(((Ansparphase!$BA$57*(1-Eingaben!$C$45))+(Ansparphase!$BB$57*(1-Eingaben!$C$45)))*Eingaben!$C$47/10000*12*(1+Eingaben!$C$48)^9*F17)*IF(((Ansparphase!$BA$57*(1-Eingaben!$C$45))+(Ansparphase!$BB$57*(1-Eingaben!$C$45)))=0,0,(Ansparphase!$BA$57*(1-Eingaben!$C$45))/((Ansparphase!$BA$57*(1-Eingaben!$C$45))+(Ansparphase!$BB$57*(1-Eingaben!$C$45)))))</f>
        <v/>
      </c>
      <c r="AJ17" s="43">
        <f>IF(Eingaben!$C$46=2,0,MAX(0,(AJ16-AK16)*(1+Parameter!$C$61)))</f>
        <v/>
      </c>
      <c r="AK17" s="43">
        <f>AO17+AP17</f>
        <v/>
      </c>
      <c r="AL17" s="43">
        <f>MAX(0,(AL16-AM16)*(1+Parameter!$C$62))</f>
        <v/>
      </c>
      <c r="AM17" s="43">
        <f>IF(F17=0,0,MIN(AL17,Ansparphase!$BC$57*$CG$5))</f>
        <v/>
      </c>
      <c r="AN17" s="43">
        <f>MAX(0,AM17*(1-IF(Ansparphase!$BC$57=0,1,MIN(1,Ansparphase!$BD$57/Ansparphase!$BC$57)))*(1-Parameter!$C$37))*Parameter!$C$36</f>
        <v/>
      </c>
      <c r="AO17" s="43">
        <f>IF(Eingaben!$C$46=1,IF(F17=0,0,MIN(AJ17,Ansparphase!$BB$57*IF(9=0,Eingaben!$C$45,0)+(Ansparphase!$BB$57*(1-Eingaben!$C$45))*$CG$4)),Ansparphase!$BB$57*IF(9=0,Eingaben!$C$45,0))</f>
        <v/>
      </c>
      <c r="AP17" s="43">
        <f>IF(Eingaben!$C$46=1,0,(((Ansparphase!$BA$57*(1-Eingaben!$C$45))+(Ansparphase!$BB$57*(1-Eingaben!$C$45)))*Eingaben!$C$47/10000*12*(1+Eingaben!$C$48)^9*F17)*IF(((Ansparphase!$BA$57*(1-Eingaben!$C$45))+(Ansparphase!$BB$57*(1-Eingaben!$C$45)))=0,0,(Ansparphase!$BB$57*(1-Eingaben!$C$45))/((Ansparphase!$BA$57*(1-Eingaben!$C$45))+(Ansparphase!$BB$57*(1-Eingaben!$C$45)))))</f>
        <v/>
      </c>
      <c r="AQ17" s="43">
        <f>IF(AND(Eingaben!$C$46=2,F17=0),((Ansparphase!$BA$57*(1-Eingaben!$C$45))+(Ansparphase!$BB$57*(1-Eingaben!$C$45)))*Eingaben!$C$47/10000*12*(1+Eingaben!$C$48)^9,0)</f>
        <v/>
      </c>
      <c r="AR17" s="43">
        <f>AI17+AO17*(1-IF(Ansparphase!$BB$57=0,1,MIN(1,$CG$7/Ansparphase!$BB$57)))*Parameter!$C$52+AP17*Parameter!$C$51</f>
        <v/>
      </c>
      <c r="AS17" s="43">
        <f>MAX(0,G17+AR17)</f>
        <v/>
      </c>
      <c r="AT17" s="43">
        <f>MAX(0,(AS17+IF(Eingaben!$C$14=3,Eingaben!$C$15,0))/Parameter!$C$57/D17)</f>
        <v/>
      </c>
      <c r="AU17" s="43">
        <f>Parameter!$C$57*D17*(IF(AT17&lt;=Parameter!$C$18,0,IF(AT17&lt;=Parameter!$C$19,(Parameter!$C$22*(AT17-Parameter!$C$18)/10000+Parameter!$C$23)*(AT17-Parameter!$C$18)/10000,IF(AT17&lt;=Parameter!$C$20,(Parameter!$C$24*(AT17-Parameter!$C$19)/10000+Parameter!$C$25)*(AT17-Parameter!$C$19)/10000+Parameter!$C$26,IF(AT17&lt;=Parameter!$C$21,0.42*AT17-Parameter!$C$27,0.45*AT17-Parameter!$C$28)))))</f>
        <v/>
      </c>
      <c r="AV17" s="43">
        <f>AU17+IF(AU17&lt;=(Parameter!$C$30*Parameter!$C$57*D17),0,MIN(Parameter!$C$29*AU17,Parameter!$C$31*(AU17-(Parameter!$C$30*Parameter!$C$57*D17))))+Eingaben!$C$16*AU17</f>
        <v/>
      </c>
      <c r="AW17" s="43">
        <f>AI17+AK17-(AV17-J17)+AM17-AN17</f>
        <v/>
      </c>
      <c r="AX17" s="43">
        <f>MAX(0,(AX16-AZ16)*(1+Parameter!$C$62))</f>
        <v/>
      </c>
      <c r="AY17" s="43">
        <f>MAX(0,AY16-AY16*IF(AX16=0,0,AZ16/AX16))</f>
        <v/>
      </c>
      <c r="AZ17" s="43">
        <f>IF(F17=0,0,MIN(AX17,Ansparphase!$BG$57*$CG$5))</f>
        <v/>
      </c>
      <c r="BA17" s="43">
        <f>AZ17-IF(AX17=0,0,AY17*AZ17/AX17)</f>
        <v/>
      </c>
      <c r="BB17" s="43">
        <f>MAX(0,BA17*(1-Parameter!$C$37)-Parameter!$C$67)*Parameter!$C$36</f>
        <v/>
      </c>
      <c r="BC17" s="43">
        <f>AZ17-BB17</f>
        <v/>
      </c>
      <c r="BD17" s="41">
        <f>1/(1+Eingaben!$C$40)^C17</f>
        <v/>
      </c>
      <c r="BE17" s="43">
        <f>IF(AND(Eingaben!$C$31=2,F17=0),(Ansparphase!$AY$57+Ansparphase!$AZ$57)*Eingaben!$C$32/10000*12*(1+Eingaben!$C$33)^9,0)</f>
        <v/>
      </c>
      <c r="BF17" s="41">
        <f>1/(1+Parameter!$C$68)^9</f>
        <v/>
      </c>
    </row>
    <row r="18">
      <c r="A18" s="30">
        <f>2026+C18</f>
        <v/>
      </c>
      <c r="B18" s="30">
        <f>Eingaben!$C$6+10</f>
        <v/>
      </c>
      <c r="C18" s="30">
        <f>B18-Eingaben!$C$5</f>
        <v/>
      </c>
      <c r="D18" s="38">
        <f>(1+Eingaben!$C$17)^C18</f>
        <v/>
      </c>
      <c r="E18" s="38">
        <f>(1+Eingaben!$C$13)^C18</f>
        <v/>
      </c>
      <c r="F18" s="30">
        <f>IF(B18&lt;=Eingaben!$C$7,1,0)</f>
        <v/>
      </c>
      <c r="G18" s="40">
        <f>Eingaben!$C$43*(1+Eingaben!$C$40)^C18</f>
        <v/>
      </c>
      <c r="H18" s="40">
        <f>MAX(0,(G18+IF(Eingaben!$C$14=3,Eingaben!$C$15,0))/Parameter!$C$57/D18)</f>
        <v/>
      </c>
      <c r="I18" s="40">
        <f>Parameter!$C$57*D18*(IF(H18&lt;=Parameter!$C$18,0,IF(H18&lt;=Parameter!$C$19,(Parameter!$C$22*(H18-Parameter!$C$18)/10000+Parameter!$C$23)*(H18-Parameter!$C$18)/10000,IF(H18&lt;=Parameter!$C$20,(Parameter!$C$24*(H18-Parameter!$C$19)/10000+Parameter!$C$25)*(H18-Parameter!$C$19)/10000+Parameter!$C$26,IF(H18&lt;=Parameter!$C$21,0.42*H18-Parameter!$C$27,0.45*H18-Parameter!$C$28)))))</f>
        <v/>
      </c>
      <c r="J18" s="40">
        <f>I18+IF(I18&lt;=(Parameter!$C$30*Parameter!$C$57*D18),0,MIN(Parameter!$C$29*I18,Parameter!$C$31*(I18-(Parameter!$C$30*Parameter!$C$57*D18))))+Eingaben!$C$16*I18</f>
        <v/>
      </c>
      <c r="K18" s="40">
        <f>IF(Eingaben!$C$31=1,IF(0=1,Ansparphase!$AY$57,0),(Ansparphase!$AY$57+Ansparphase!$AZ$57)*Eingaben!$C$32/10000*12*(1+Eingaben!$C$33)^10*F18*IF((Ansparphase!$AY$57+Ansparphase!$AZ$57)=0,0,Ansparphase!$AY$57/(Ansparphase!$AY$57+Ansparphase!$AZ$57)))</f>
        <v/>
      </c>
      <c r="L18" s="40">
        <f>IF(Eingaben!$C$31=1,IF(0=1,Ansparphase!$AZ$57,0),(Ansparphase!$AY$57+Ansparphase!$AZ$57)*Eingaben!$C$32/10000*12*(1+Eingaben!$C$33)^10*F18*IF((Ansparphase!$AY$57+Ansparphase!$AZ$57)=0,0,Ansparphase!$AZ$57/(Ansparphase!$AY$57+Ansparphase!$AZ$57)))</f>
        <v/>
      </c>
      <c r="M18" s="40">
        <f>K18+L18</f>
        <v/>
      </c>
      <c r="N18" s="40">
        <f>K18+L18*IF(Eingaben!$C$31=1,(1-IF(Ansparphase!$AZ$57=0,1,MIN(1,$CG$8/Ansparphase!$AZ$57)))*Parameter!$C$52,Parameter!$C$51)</f>
        <v/>
      </c>
      <c r="O18" s="40">
        <f>IF(Eingaben!$C$31=1,IF(10&lt;10,(Ansparphase!$AY$57+Ansparphase!$AZ$57)/120,0),M18/12)</f>
        <v/>
      </c>
      <c r="P18" s="40">
        <f>Eingaben!$C$44/12*(1+Eingaben!$C$13)^C18</f>
        <v/>
      </c>
      <c r="Q18" s="40">
        <f>MAX(0,MIN(O18,Parameter!$C$5/12*E18-P18))</f>
        <v/>
      </c>
      <c r="R18" s="40">
        <f>IF(Eingaben!$C$42=2,0,MAX(0,Q18-Parameter!$C$7*E18)*Parameter!$C$54*12)</f>
        <v/>
      </c>
      <c r="S18" s="40">
        <f>IF(Eingaben!$C$42=2,0,IF(O18&gt;Parameter!$C$7*E18,Q18*Parameter!$C$59*12,0))</f>
        <v/>
      </c>
      <c r="T18" s="40">
        <f>R18+S18</f>
        <v/>
      </c>
      <c r="U18" s="40">
        <f>Ansparphase!$BL$57*Parameter!$C$9*12*(1+Eingaben!$C$13)^(Eingaben!$C$6-Eingaben!$C$5)*(1+Eingaben!$C$13)^10*F18</f>
        <v/>
      </c>
      <c r="V18" s="40">
        <f>U18*Parameter!$C$66</f>
        <v/>
      </c>
      <c r="W18" s="40">
        <f>IF(Eingaben!$C$42=2,0,U18*(Parameter!$C$53+Parameter!$C$59))</f>
        <v/>
      </c>
      <c r="X18" s="40">
        <f>MAX(0,G18-V18+N18-T18+W18)</f>
        <v/>
      </c>
      <c r="Y18" s="40">
        <f>MAX(0,(X18+IF(Eingaben!$C$14=3,Eingaben!$C$15,0))/Parameter!$C$57/D18)</f>
        <v/>
      </c>
      <c r="Z18" s="40">
        <f>Parameter!$C$57*D18*(IF(Y18&lt;=Parameter!$C$18,0,IF(Y18&lt;=Parameter!$C$19,(Parameter!$C$22*(Y18-Parameter!$C$18)/10000+Parameter!$C$23)*(Y18-Parameter!$C$18)/10000,IF(Y18&lt;=Parameter!$C$20,(Parameter!$C$24*(Y18-Parameter!$C$19)/10000+Parameter!$C$25)*(Y18-Parameter!$C$19)/10000+Parameter!$C$26,IF(Y18&lt;=Parameter!$C$21,0.42*Y18-Parameter!$C$27,0.45*Y18-Parameter!$C$28)))))</f>
        <v/>
      </c>
      <c r="AA18" s="40">
        <f>Z18+IF(Z18&lt;=(Parameter!$C$30*Parameter!$C$57*D18),0,MIN(Parameter!$C$29*Z18,Parameter!$C$31*(Z18-(Parameter!$C$30*Parameter!$C$57*D18))))+Eingaben!$C$16*Z18</f>
        <v/>
      </c>
      <c r="AB18" s="40">
        <f>MAX(0,G18-V18+N18/5-T18+W18)</f>
        <v/>
      </c>
      <c r="AC18" s="40">
        <f>MAX(0,(AB18+IF(Eingaben!$C$14=3,Eingaben!$C$15,0))/Parameter!$C$57/D18)</f>
        <v/>
      </c>
      <c r="AD18" s="40">
        <f>Parameter!$C$57*D18*(IF(AC18&lt;=Parameter!$C$18,0,IF(AC18&lt;=Parameter!$C$19,(Parameter!$C$22*(AC18-Parameter!$C$18)/10000+Parameter!$C$23)*(AC18-Parameter!$C$18)/10000,IF(AC18&lt;=Parameter!$C$20,(Parameter!$C$24*(AC18-Parameter!$C$19)/10000+Parameter!$C$25)*(AC18-Parameter!$C$19)/10000+Parameter!$C$26,IF(AC18&lt;=Parameter!$C$21,0.42*AC18-Parameter!$C$27,0.45*AC18-Parameter!$C$28)))))</f>
        <v/>
      </c>
      <c r="AE18" s="40">
        <f>AD18+IF(AD18&lt;=(Parameter!$C$30*Parameter!$C$57*D18),0,MIN(Parameter!$C$29*AD18,Parameter!$C$31*(AD18-(Parameter!$C$30*Parameter!$C$57*D18))))+Eingaben!$C$16*AD18</f>
        <v/>
      </c>
      <c r="AF18" s="40">
        <f>IF(AND(Eingaben!$C$34=1,Eingaben!$C$31=1,M18&gt;0),MIN(AA18-J18,5*(AE18-J18)),AA18-J18)</f>
        <v/>
      </c>
      <c r="AG18" s="40">
        <f>M18-T18-AF18-U18+W18</f>
        <v/>
      </c>
      <c r="AH18" s="40">
        <f>IF(Eingaben!$C$46=2,0,MAX(0,(AH17-AI17)*(1+Parameter!$C$61)))</f>
        <v/>
      </c>
      <c r="AI18" s="40">
        <f>IF(Eingaben!$C$46=1,IF(F18=0,0,MIN(AH18,Ansparphase!$BA$57*IF(10=0,Eingaben!$C$45,0)+(Ansparphase!$BA$57*(1-Eingaben!$C$45))*$CG$4)),Ansparphase!$BA$57*IF(10=0,Eingaben!$C$45,0)+(((Ansparphase!$BA$57*(1-Eingaben!$C$45))+(Ansparphase!$BB$57*(1-Eingaben!$C$45)))*Eingaben!$C$47/10000*12*(1+Eingaben!$C$48)^10*F18)*IF(((Ansparphase!$BA$57*(1-Eingaben!$C$45))+(Ansparphase!$BB$57*(1-Eingaben!$C$45)))=0,0,(Ansparphase!$BA$57*(1-Eingaben!$C$45))/((Ansparphase!$BA$57*(1-Eingaben!$C$45))+(Ansparphase!$BB$57*(1-Eingaben!$C$45)))))</f>
        <v/>
      </c>
      <c r="AJ18" s="40">
        <f>IF(Eingaben!$C$46=2,0,MAX(0,(AJ17-AK17)*(1+Parameter!$C$61)))</f>
        <v/>
      </c>
      <c r="AK18" s="40">
        <f>AO18+AP18</f>
        <v/>
      </c>
      <c r="AL18" s="40">
        <f>MAX(0,(AL17-AM17)*(1+Parameter!$C$62))</f>
        <v/>
      </c>
      <c r="AM18" s="40">
        <f>IF(F18=0,0,MIN(AL18,Ansparphase!$BC$57*$CG$5))</f>
        <v/>
      </c>
      <c r="AN18" s="40">
        <f>MAX(0,AM18*(1-IF(Ansparphase!$BC$57=0,1,MIN(1,Ansparphase!$BD$57/Ansparphase!$BC$57)))*(1-Parameter!$C$37))*Parameter!$C$36</f>
        <v/>
      </c>
      <c r="AO18" s="40">
        <f>IF(Eingaben!$C$46=1,IF(F18=0,0,MIN(AJ18,Ansparphase!$BB$57*IF(10=0,Eingaben!$C$45,0)+(Ansparphase!$BB$57*(1-Eingaben!$C$45))*$CG$4)),Ansparphase!$BB$57*IF(10=0,Eingaben!$C$45,0))</f>
        <v/>
      </c>
      <c r="AP18" s="40">
        <f>IF(Eingaben!$C$46=1,0,(((Ansparphase!$BA$57*(1-Eingaben!$C$45))+(Ansparphase!$BB$57*(1-Eingaben!$C$45)))*Eingaben!$C$47/10000*12*(1+Eingaben!$C$48)^10*F18)*IF(((Ansparphase!$BA$57*(1-Eingaben!$C$45))+(Ansparphase!$BB$57*(1-Eingaben!$C$45)))=0,0,(Ansparphase!$BB$57*(1-Eingaben!$C$45))/((Ansparphase!$BA$57*(1-Eingaben!$C$45))+(Ansparphase!$BB$57*(1-Eingaben!$C$45)))))</f>
        <v/>
      </c>
      <c r="AQ18" s="40">
        <f>IF(AND(Eingaben!$C$46=2,F18=0),((Ansparphase!$BA$57*(1-Eingaben!$C$45))+(Ansparphase!$BB$57*(1-Eingaben!$C$45)))*Eingaben!$C$47/10000*12*(1+Eingaben!$C$48)^10,0)</f>
        <v/>
      </c>
      <c r="AR18" s="40">
        <f>AI18+AO18*(1-IF(Ansparphase!$BB$57=0,1,MIN(1,$CG$7/Ansparphase!$BB$57)))*Parameter!$C$52+AP18*Parameter!$C$51</f>
        <v/>
      </c>
      <c r="AS18" s="40">
        <f>MAX(0,G18+AR18)</f>
        <v/>
      </c>
      <c r="AT18" s="40">
        <f>MAX(0,(AS18+IF(Eingaben!$C$14=3,Eingaben!$C$15,0))/Parameter!$C$57/D18)</f>
        <v/>
      </c>
      <c r="AU18" s="40">
        <f>Parameter!$C$57*D18*(IF(AT18&lt;=Parameter!$C$18,0,IF(AT18&lt;=Parameter!$C$19,(Parameter!$C$22*(AT18-Parameter!$C$18)/10000+Parameter!$C$23)*(AT18-Parameter!$C$18)/10000,IF(AT18&lt;=Parameter!$C$20,(Parameter!$C$24*(AT18-Parameter!$C$19)/10000+Parameter!$C$25)*(AT18-Parameter!$C$19)/10000+Parameter!$C$26,IF(AT18&lt;=Parameter!$C$21,0.42*AT18-Parameter!$C$27,0.45*AT18-Parameter!$C$28)))))</f>
        <v/>
      </c>
      <c r="AV18" s="40">
        <f>AU18+IF(AU18&lt;=(Parameter!$C$30*Parameter!$C$57*D18),0,MIN(Parameter!$C$29*AU18,Parameter!$C$31*(AU18-(Parameter!$C$30*Parameter!$C$57*D18))))+Eingaben!$C$16*AU18</f>
        <v/>
      </c>
      <c r="AW18" s="40">
        <f>AI18+AK18-(AV18-J18)+AM18-AN18</f>
        <v/>
      </c>
      <c r="AX18" s="40">
        <f>MAX(0,(AX17-AZ17)*(1+Parameter!$C$62))</f>
        <v/>
      </c>
      <c r="AY18" s="40">
        <f>MAX(0,AY17-AY17*IF(AX17=0,0,AZ17/AX17))</f>
        <v/>
      </c>
      <c r="AZ18" s="40">
        <f>IF(F18=0,0,MIN(AX18,Ansparphase!$BG$57*$CG$5))</f>
        <v/>
      </c>
      <c r="BA18" s="40">
        <f>AZ18-IF(AX18=0,0,AY18*AZ18/AX18)</f>
        <v/>
      </c>
      <c r="BB18" s="40">
        <f>MAX(0,BA18*(1-Parameter!$C$37)-Parameter!$C$67)*Parameter!$C$36</f>
        <v/>
      </c>
      <c r="BC18" s="40">
        <f>AZ18-BB18</f>
        <v/>
      </c>
      <c r="BD18" s="38">
        <f>1/(1+Eingaben!$C$40)^C18</f>
        <v/>
      </c>
      <c r="BE18" s="40">
        <f>IF(AND(Eingaben!$C$31=2,F18=0),(Ansparphase!$AY$57+Ansparphase!$AZ$57)*Eingaben!$C$32/10000*12*(1+Eingaben!$C$33)^10,0)</f>
        <v/>
      </c>
      <c r="BF18" s="38">
        <f>1/(1+Parameter!$C$68)^10</f>
        <v/>
      </c>
    </row>
    <row r="19">
      <c r="A19" s="32">
        <f>2026+C19</f>
        <v/>
      </c>
      <c r="B19" s="32">
        <f>Eingaben!$C$6+11</f>
        <v/>
      </c>
      <c r="C19" s="32">
        <f>B19-Eingaben!$C$5</f>
        <v/>
      </c>
      <c r="D19" s="41">
        <f>(1+Eingaben!$C$17)^C19</f>
        <v/>
      </c>
      <c r="E19" s="41">
        <f>(1+Eingaben!$C$13)^C19</f>
        <v/>
      </c>
      <c r="F19" s="32">
        <f>IF(B19&lt;=Eingaben!$C$7,1,0)</f>
        <v/>
      </c>
      <c r="G19" s="43">
        <f>Eingaben!$C$43*(1+Eingaben!$C$40)^C19</f>
        <v/>
      </c>
      <c r="H19" s="43">
        <f>MAX(0,(G19+IF(Eingaben!$C$14=3,Eingaben!$C$15,0))/Parameter!$C$57/D19)</f>
        <v/>
      </c>
      <c r="I19" s="43">
        <f>Parameter!$C$57*D19*(IF(H19&lt;=Parameter!$C$18,0,IF(H19&lt;=Parameter!$C$19,(Parameter!$C$22*(H19-Parameter!$C$18)/10000+Parameter!$C$23)*(H19-Parameter!$C$18)/10000,IF(H19&lt;=Parameter!$C$20,(Parameter!$C$24*(H19-Parameter!$C$19)/10000+Parameter!$C$25)*(H19-Parameter!$C$19)/10000+Parameter!$C$26,IF(H19&lt;=Parameter!$C$21,0.42*H19-Parameter!$C$27,0.45*H19-Parameter!$C$28)))))</f>
        <v/>
      </c>
      <c r="J19" s="43">
        <f>I19+IF(I19&lt;=(Parameter!$C$30*Parameter!$C$57*D19),0,MIN(Parameter!$C$29*I19,Parameter!$C$31*(I19-(Parameter!$C$30*Parameter!$C$57*D19))))+Eingaben!$C$16*I19</f>
        <v/>
      </c>
      <c r="K19" s="43">
        <f>IF(Eingaben!$C$31=1,IF(0=1,Ansparphase!$AY$57,0),(Ansparphase!$AY$57+Ansparphase!$AZ$57)*Eingaben!$C$32/10000*12*(1+Eingaben!$C$33)^11*F19*IF((Ansparphase!$AY$57+Ansparphase!$AZ$57)=0,0,Ansparphase!$AY$57/(Ansparphase!$AY$57+Ansparphase!$AZ$57)))</f>
        <v/>
      </c>
      <c r="L19" s="43">
        <f>IF(Eingaben!$C$31=1,IF(0=1,Ansparphase!$AZ$57,0),(Ansparphase!$AY$57+Ansparphase!$AZ$57)*Eingaben!$C$32/10000*12*(1+Eingaben!$C$33)^11*F19*IF((Ansparphase!$AY$57+Ansparphase!$AZ$57)=0,0,Ansparphase!$AZ$57/(Ansparphase!$AY$57+Ansparphase!$AZ$57)))</f>
        <v/>
      </c>
      <c r="M19" s="43">
        <f>K19+L19</f>
        <v/>
      </c>
      <c r="N19" s="43">
        <f>K19+L19*IF(Eingaben!$C$31=1,(1-IF(Ansparphase!$AZ$57=0,1,MIN(1,$CG$8/Ansparphase!$AZ$57)))*Parameter!$C$52,Parameter!$C$51)</f>
        <v/>
      </c>
      <c r="O19" s="43">
        <f>IF(Eingaben!$C$31=1,IF(11&lt;10,(Ansparphase!$AY$57+Ansparphase!$AZ$57)/120,0),M19/12)</f>
        <v/>
      </c>
      <c r="P19" s="43">
        <f>Eingaben!$C$44/12*(1+Eingaben!$C$13)^C19</f>
        <v/>
      </c>
      <c r="Q19" s="43">
        <f>MAX(0,MIN(O19,Parameter!$C$5/12*E19-P19))</f>
        <v/>
      </c>
      <c r="R19" s="43">
        <f>IF(Eingaben!$C$42=2,0,MAX(0,Q19-Parameter!$C$7*E19)*Parameter!$C$54*12)</f>
        <v/>
      </c>
      <c r="S19" s="43">
        <f>IF(Eingaben!$C$42=2,0,IF(O19&gt;Parameter!$C$7*E19,Q19*Parameter!$C$59*12,0))</f>
        <v/>
      </c>
      <c r="T19" s="43">
        <f>R19+S19</f>
        <v/>
      </c>
      <c r="U19" s="43">
        <f>Ansparphase!$BL$57*Parameter!$C$9*12*(1+Eingaben!$C$13)^(Eingaben!$C$6-Eingaben!$C$5)*(1+Eingaben!$C$13)^11*F19</f>
        <v/>
      </c>
      <c r="V19" s="43">
        <f>U19*Parameter!$C$66</f>
        <v/>
      </c>
      <c r="W19" s="43">
        <f>IF(Eingaben!$C$42=2,0,U19*(Parameter!$C$53+Parameter!$C$59))</f>
        <v/>
      </c>
      <c r="X19" s="43">
        <f>MAX(0,G19-V19+N19-T19+W19)</f>
        <v/>
      </c>
      <c r="Y19" s="43">
        <f>MAX(0,(X19+IF(Eingaben!$C$14=3,Eingaben!$C$15,0))/Parameter!$C$57/D19)</f>
        <v/>
      </c>
      <c r="Z19" s="43">
        <f>Parameter!$C$57*D19*(IF(Y19&lt;=Parameter!$C$18,0,IF(Y19&lt;=Parameter!$C$19,(Parameter!$C$22*(Y19-Parameter!$C$18)/10000+Parameter!$C$23)*(Y19-Parameter!$C$18)/10000,IF(Y19&lt;=Parameter!$C$20,(Parameter!$C$24*(Y19-Parameter!$C$19)/10000+Parameter!$C$25)*(Y19-Parameter!$C$19)/10000+Parameter!$C$26,IF(Y19&lt;=Parameter!$C$21,0.42*Y19-Parameter!$C$27,0.45*Y19-Parameter!$C$28)))))</f>
        <v/>
      </c>
      <c r="AA19" s="43">
        <f>Z19+IF(Z19&lt;=(Parameter!$C$30*Parameter!$C$57*D19),0,MIN(Parameter!$C$29*Z19,Parameter!$C$31*(Z19-(Parameter!$C$30*Parameter!$C$57*D19))))+Eingaben!$C$16*Z19</f>
        <v/>
      </c>
      <c r="AB19" s="43">
        <f>MAX(0,G19-V19+N19/5-T19+W19)</f>
        <v/>
      </c>
      <c r="AC19" s="43">
        <f>MAX(0,(AB19+IF(Eingaben!$C$14=3,Eingaben!$C$15,0))/Parameter!$C$57/D19)</f>
        <v/>
      </c>
      <c r="AD19" s="43">
        <f>Parameter!$C$57*D19*(IF(AC19&lt;=Parameter!$C$18,0,IF(AC19&lt;=Parameter!$C$19,(Parameter!$C$22*(AC19-Parameter!$C$18)/10000+Parameter!$C$23)*(AC19-Parameter!$C$18)/10000,IF(AC19&lt;=Parameter!$C$20,(Parameter!$C$24*(AC19-Parameter!$C$19)/10000+Parameter!$C$25)*(AC19-Parameter!$C$19)/10000+Parameter!$C$26,IF(AC19&lt;=Parameter!$C$21,0.42*AC19-Parameter!$C$27,0.45*AC19-Parameter!$C$28)))))</f>
        <v/>
      </c>
      <c r="AE19" s="43">
        <f>AD19+IF(AD19&lt;=(Parameter!$C$30*Parameter!$C$57*D19),0,MIN(Parameter!$C$29*AD19,Parameter!$C$31*(AD19-(Parameter!$C$30*Parameter!$C$57*D19))))+Eingaben!$C$16*AD19</f>
        <v/>
      </c>
      <c r="AF19" s="43">
        <f>IF(AND(Eingaben!$C$34=1,Eingaben!$C$31=1,M19&gt;0),MIN(AA19-J19,5*(AE19-J19)),AA19-J19)</f>
        <v/>
      </c>
      <c r="AG19" s="43">
        <f>M19-T19-AF19-U19+W19</f>
        <v/>
      </c>
      <c r="AH19" s="43">
        <f>IF(Eingaben!$C$46=2,0,MAX(0,(AH18-AI18)*(1+Parameter!$C$61)))</f>
        <v/>
      </c>
      <c r="AI19" s="43">
        <f>IF(Eingaben!$C$46=1,IF(F19=0,0,MIN(AH19,Ansparphase!$BA$57*IF(11=0,Eingaben!$C$45,0)+(Ansparphase!$BA$57*(1-Eingaben!$C$45))*$CG$4)),Ansparphase!$BA$57*IF(11=0,Eingaben!$C$45,0)+(((Ansparphase!$BA$57*(1-Eingaben!$C$45))+(Ansparphase!$BB$57*(1-Eingaben!$C$45)))*Eingaben!$C$47/10000*12*(1+Eingaben!$C$48)^11*F19)*IF(((Ansparphase!$BA$57*(1-Eingaben!$C$45))+(Ansparphase!$BB$57*(1-Eingaben!$C$45)))=0,0,(Ansparphase!$BA$57*(1-Eingaben!$C$45))/((Ansparphase!$BA$57*(1-Eingaben!$C$45))+(Ansparphase!$BB$57*(1-Eingaben!$C$45)))))</f>
        <v/>
      </c>
      <c r="AJ19" s="43">
        <f>IF(Eingaben!$C$46=2,0,MAX(0,(AJ18-AK18)*(1+Parameter!$C$61)))</f>
        <v/>
      </c>
      <c r="AK19" s="43">
        <f>AO19+AP19</f>
        <v/>
      </c>
      <c r="AL19" s="43">
        <f>MAX(0,(AL18-AM18)*(1+Parameter!$C$62))</f>
        <v/>
      </c>
      <c r="AM19" s="43">
        <f>IF(F19=0,0,MIN(AL19,Ansparphase!$BC$57*$CG$5))</f>
        <v/>
      </c>
      <c r="AN19" s="43">
        <f>MAX(0,AM19*(1-IF(Ansparphase!$BC$57=0,1,MIN(1,Ansparphase!$BD$57/Ansparphase!$BC$57)))*(1-Parameter!$C$37))*Parameter!$C$36</f>
        <v/>
      </c>
      <c r="AO19" s="43">
        <f>IF(Eingaben!$C$46=1,IF(F19=0,0,MIN(AJ19,Ansparphase!$BB$57*IF(11=0,Eingaben!$C$45,0)+(Ansparphase!$BB$57*(1-Eingaben!$C$45))*$CG$4)),Ansparphase!$BB$57*IF(11=0,Eingaben!$C$45,0))</f>
        <v/>
      </c>
      <c r="AP19" s="43">
        <f>IF(Eingaben!$C$46=1,0,(((Ansparphase!$BA$57*(1-Eingaben!$C$45))+(Ansparphase!$BB$57*(1-Eingaben!$C$45)))*Eingaben!$C$47/10000*12*(1+Eingaben!$C$48)^11*F19)*IF(((Ansparphase!$BA$57*(1-Eingaben!$C$45))+(Ansparphase!$BB$57*(1-Eingaben!$C$45)))=0,0,(Ansparphase!$BB$57*(1-Eingaben!$C$45))/((Ansparphase!$BA$57*(1-Eingaben!$C$45))+(Ansparphase!$BB$57*(1-Eingaben!$C$45)))))</f>
        <v/>
      </c>
      <c r="AQ19" s="43">
        <f>IF(AND(Eingaben!$C$46=2,F19=0),((Ansparphase!$BA$57*(1-Eingaben!$C$45))+(Ansparphase!$BB$57*(1-Eingaben!$C$45)))*Eingaben!$C$47/10000*12*(1+Eingaben!$C$48)^11,0)</f>
        <v/>
      </c>
      <c r="AR19" s="43">
        <f>AI19+AO19*(1-IF(Ansparphase!$BB$57=0,1,MIN(1,$CG$7/Ansparphase!$BB$57)))*Parameter!$C$52+AP19*Parameter!$C$51</f>
        <v/>
      </c>
      <c r="AS19" s="43">
        <f>MAX(0,G19+AR19)</f>
        <v/>
      </c>
      <c r="AT19" s="43">
        <f>MAX(0,(AS19+IF(Eingaben!$C$14=3,Eingaben!$C$15,0))/Parameter!$C$57/D19)</f>
        <v/>
      </c>
      <c r="AU19" s="43">
        <f>Parameter!$C$57*D19*(IF(AT19&lt;=Parameter!$C$18,0,IF(AT19&lt;=Parameter!$C$19,(Parameter!$C$22*(AT19-Parameter!$C$18)/10000+Parameter!$C$23)*(AT19-Parameter!$C$18)/10000,IF(AT19&lt;=Parameter!$C$20,(Parameter!$C$24*(AT19-Parameter!$C$19)/10000+Parameter!$C$25)*(AT19-Parameter!$C$19)/10000+Parameter!$C$26,IF(AT19&lt;=Parameter!$C$21,0.42*AT19-Parameter!$C$27,0.45*AT19-Parameter!$C$28)))))</f>
        <v/>
      </c>
      <c r="AV19" s="43">
        <f>AU19+IF(AU19&lt;=(Parameter!$C$30*Parameter!$C$57*D19),0,MIN(Parameter!$C$29*AU19,Parameter!$C$31*(AU19-(Parameter!$C$30*Parameter!$C$57*D19))))+Eingaben!$C$16*AU19</f>
        <v/>
      </c>
      <c r="AW19" s="43">
        <f>AI19+AK19-(AV19-J19)+AM19-AN19</f>
        <v/>
      </c>
      <c r="AX19" s="43">
        <f>MAX(0,(AX18-AZ18)*(1+Parameter!$C$62))</f>
        <v/>
      </c>
      <c r="AY19" s="43">
        <f>MAX(0,AY18-AY18*IF(AX18=0,0,AZ18/AX18))</f>
        <v/>
      </c>
      <c r="AZ19" s="43">
        <f>IF(F19=0,0,MIN(AX19,Ansparphase!$BG$57*$CG$5))</f>
        <v/>
      </c>
      <c r="BA19" s="43">
        <f>AZ19-IF(AX19=0,0,AY19*AZ19/AX19)</f>
        <v/>
      </c>
      <c r="BB19" s="43">
        <f>MAX(0,BA19*(1-Parameter!$C$37)-Parameter!$C$67)*Parameter!$C$36</f>
        <v/>
      </c>
      <c r="BC19" s="43">
        <f>AZ19-BB19</f>
        <v/>
      </c>
      <c r="BD19" s="41">
        <f>1/(1+Eingaben!$C$40)^C19</f>
        <v/>
      </c>
      <c r="BE19" s="43">
        <f>IF(AND(Eingaben!$C$31=2,F19=0),(Ansparphase!$AY$57+Ansparphase!$AZ$57)*Eingaben!$C$32/10000*12*(1+Eingaben!$C$33)^11,0)</f>
        <v/>
      </c>
      <c r="BF19" s="41">
        <f>1/(1+Parameter!$C$68)^11</f>
        <v/>
      </c>
    </row>
    <row r="20">
      <c r="A20" s="30">
        <f>2026+C20</f>
        <v/>
      </c>
      <c r="B20" s="30">
        <f>Eingaben!$C$6+12</f>
        <v/>
      </c>
      <c r="C20" s="30">
        <f>B20-Eingaben!$C$5</f>
        <v/>
      </c>
      <c r="D20" s="38">
        <f>(1+Eingaben!$C$17)^C20</f>
        <v/>
      </c>
      <c r="E20" s="38">
        <f>(1+Eingaben!$C$13)^C20</f>
        <v/>
      </c>
      <c r="F20" s="30">
        <f>IF(B20&lt;=Eingaben!$C$7,1,0)</f>
        <v/>
      </c>
      <c r="G20" s="40">
        <f>Eingaben!$C$43*(1+Eingaben!$C$40)^C20</f>
        <v/>
      </c>
      <c r="H20" s="40">
        <f>MAX(0,(G20+IF(Eingaben!$C$14=3,Eingaben!$C$15,0))/Parameter!$C$57/D20)</f>
        <v/>
      </c>
      <c r="I20" s="40">
        <f>Parameter!$C$57*D20*(IF(H20&lt;=Parameter!$C$18,0,IF(H20&lt;=Parameter!$C$19,(Parameter!$C$22*(H20-Parameter!$C$18)/10000+Parameter!$C$23)*(H20-Parameter!$C$18)/10000,IF(H20&lt;=Parameter!$C$20,(Parameter!$C$24*(H20-Parameter!$C$19)/10000+Parameter!$C$25)*(H20-Parameter!$C$19)/10000+Parameter!$C$26,IF(H20&lt;=Parameter!$C$21,0.42*H20-Parameter!$C$27,0.45*H20-Parameter!$C$28)))))</f>
        <v/>
      </c>
      <c r="J20" s="40">
        <f>I20+IF(I20&lt;=(Parameter!$C$30*Parameter!$C$57*D20),0,MIN(Parameter!$C$29*I20,Parameter!$C$31*(I20-(Parameter!$C$30*Parameter!$C$57*D20))))+Eingaben!$C$16*I20</f>
        <v/>
      </c>
      <c r="K20" s="40">
        <f>IF(Eingaben!$C$31=1,IF(0=1,Ansparphase!$AY$57,0),(Ansparphase!$AY$57+Ansparphase!$AZ$57)*Eingaben!$C$32/10000*12*(1+Eingaben!$C$33)^12*F20*IF((Ansparphase!$AY$57+Ansparphase!$AZ$57)=0,0,Ansparphase!$AY$57/(Ansparphase!$AY$57+Ansparphase!$AZ$57)))</f>
        <v/>
      </c>
      <c r="L20" s="40">
        <f>IF(Eingaben!$C$31=1,IF(0=1,Ansparphase!$AZ$57,0),(Ansparphase!$AY$57+Ansparphase!$AZ$57)*Eingaben!$C$32/10000*12*(1+Eingaben!$C$33)^12*F20*IF((Ansparphase!$AY$57+Ansparphase!$AZ$57)=0,0,Ansparphase!$AZ$57/(Ansparphase!$AY$57+Ansparphase!$AZ$57)))</f>
        <v/>
      </c>
      <c r="M20" s="40">
        <f>K20+L20</f>
        <v/>
      </c>
      <c r="N20" s="40">
        <f>K20+L20*IF(Eingaben!$C$31=1,(1-IF(Ansparphase!$AZ$57=0,1,MIN(1,$CG$8/Ansparphase!$AZ$57)))*Parameter!$C$52,Parameter!$C$51)</f>
        <v/>
      </c>
      <c r="O20" s="40">
        <f>IF(Eingaben!$C$31=1,IF(12&lt;10,(Ansparphase!$AY$57+Ansparphase!$AZ$57)/120,0),M20/12)</f>
        <v/>
      </c>
      <c r="P20" s="40">
        <f>Eingaben!$C$44/12*(1+Eingaben!$C$13)^C20</f>
        <v/>
      </c>
      <c r="Q20" s="40">
        <f>MAX(0,MIN(O20,Parameter!$C$5/12*E20-P20))</f>
        <v/>
      </c>
      <c r="R20" s="40">
        <f>IF(Eingaben!$C$42=2,0,MAX(0,Q20-Parameter!$C$7*E20)*Parameter!$C$54*12)</f>
        <v/>
      </c>
      <c r="S20" s="40">
        <f>IF(Eingaben!$C$42=2,0,IF(O20&gt;Parameter!$C$7*E20,Q20*Parameter!$C$59*12,0))</f>
        <v/>
      </c>
      <c r="T20" s="40">
        <f>R20+S20</f>
        <v/>
      </c>
      <c r="U20" s="40">
        <f>Ansparphase!$BL$57*Parameter!$C$9*12*(1+Eingaben!$C$13)^(Eingaben!$C$6-Eingaben!$C$5)*(1+Eingaben!$C$13)^12*F20</f>
        <v/>
      </c>
      <c r="V20" s="40">
        <f>U20*Parameter!$C$66</f>
        <v/>
      </c>
      <c r="W20" s="40">
        <f>IF(Eingaben!$C$42=2,0,U20*(Parameter!$C$53+Parameter!$C$59))</f>
        <v/>
      </c>
      <c r="X20" s="40">
        <f>MAX(0,G20-V20+N20-T20+W20)</f>
        <v/>
      </c>
      <c r="Y20" s="40">
        <f>MAX(0,(X20+IF(Eingaben!$C$14=3,Eingaben!$C$15,0))/Parameter!$C$57/D20)</f>
        <v/>
      </c>
      <c r="Z20" s="40">
        <f>Parameter!$C$57*D20*(IF(Y20&lt;=Parameter!$C$18,0,IF(Y20&lt;=Parameter!$C$19,(Parameter!$C$22*(Y20-Parameter!$C$18)/10000+Parameter!$C$23)*(Y20-Parameter!$C$18)/10000,IF(Y20&lt;=Parameter!$C$20,(Parameter!$C$24*(Y20-Parameter!$C$19)/10000+Parameter!$C$25)*(Y20-Parameter!$C$19)/10000+Parameter!$C$26,IF(Y20&lt;=Parameter!$C$21,0.42*Y20-Parameter!$C$27,0.45*Y20-Parameter!$C$28)))))</f>
        <v/>
      </c>
      <c r="AA20" s="40">
        <f>Z20+IF(Z20&lt;=(Parameter!$C$30*Parameter!$C$57*D20),0,MIN(Parameter!$C$29*Z20,Parameter!$C$31*(Z20-(Parameter!$C$30*Parameter!$C$57*D20))))+Eingaben!$C$16*Z20</f>
        <v/>
      </c>
      <c r="AB20" s="40">
        <f>MAX(0,G20-V20+N20/5-T20+W20)</f>
        <v/>
      </c>
      <c r="AC20" s="40">
        <f>MAX(0,(AB20+IF(Eingaben!$C$14=3,Eingaben!$C$15,0))/Parameter!$C$57/D20)</f>
        <v/>
      </c>
      <c r="AD20" s="40">
        <f>Parameter!$C$57*D20*(IF(AC20&lt;=Parameter!$C$18,0,IF(AC20&lt;=Parameter!$C$19,(Parameter!$C$22*(AC20-Parameter!$C$18)/10000+Parameter!$C$23)*(AC20-Parameter!$C$18)/10000,IF(AC20&lt;=Parameter!$C$20,(Parameter!$C$24*(AC20-Parameter!$C$19)/10000+Parameter!$C$25)*(AC20-Parameter!$C$19)/10000+Parameter!$C$26,IF(AC20&lt;=Parameter!$C$21,0.42*AC20-Parameter!$C$27,0.45*AC20-Parameter!$C$28)))))</f>
        <v/>
      </c>
      <c r="AE20" s="40">
        <f>AD20+IF(AD20&lt;=(Parameter!$C$30*Parameter!$C$57*D20),0,MIN(Parameter!$C$29*AD20,Parameter!$C$31*(AD20-(Parameter!$C$30*Parameter!$C$57*D20))))+Eingaben!$C$16*AD20</f>
        <v/>
      </c>
      <c r="AF20" s="40">
        <f>IF(AND(Eingaben!$C$34=1,Eingaben!$C$31=1,M20&gt;0),MIN(AA20-J20,5*(AE20-J20)),AA20-J20)</f>
        <v/>
      </c>
      <c r="AG20" s="40">
        <f>M20-T20-AF20-U20+W20</f>
        <v/>
      </c>
      <c r="AH20" s="40">
        <f>IF(Eingaben!$C$46=2,0,MAX(0,(AH19-AI19)*(1+Parameter!$C$61)))</f>
        <v/>
      </c>
      <c r="AI20" s="40">
        <f>IF(Eingaben!$C$46=1,IF(F20=0,0,MIN(AH20,Ansparphase!$BA$57*IF(12=0,Eingaben!$C$45,0)+(Ansparphase!$BA$57*(1-Eingaben!$C$45))*$CG$4)),Ansparphase!$BA$57*IF(12=0,Eingaben!$C$45,0)+(((Ansparphase!$BA$57*(1-Eingaben!$C$45))+(Ansparphase!$BB$57*(1-Eingaben!$C$45)))*Eingaben!$C$47/10000*12*(1+Eingaben!$C$48)^12*F20)*IF(((Ansparphase!$BA$57*(1-Eingaben!$C$45))+(Ansparphase!$BB$57*(1-Eingaben!$C$45)))=0,0,(Ansparphase!$BA$57*(1-Eingaben!$C$45))/((Ansparphase!$BA$57*(1-Eingaben!$C$45))+(Ansparphase!$BB$57*(1-Eingaben!$C$45)))))</f>
        <v/>
      </c>
      <c r="AJ20" s="40">
        <f>IF(Eingaben!$C$46=2,0,MAX(0,(AJ19-AK19)*(1+Parameter!$C$61)))</f>
        <v/>
      </c>
      <c r="AK20" s="40">
        <f>AO20+AP20</f>
        <v/>
      </c>
      <c r="AL20" s="40">
        <f>MAX(0,(AL19-AM19)*(1+Parameter!$C$62))</f>
        <v/>
      </c>
      <c r="AM20" s="40">
        <f>IF(F20=0,0,MIN(AL20,Ansparphase!$BC$57*$CG$5))</f>
        <v/>
      </c>
      <c r="AN20" s="40">
        <f>MAX(0,AM20*(1-IF(Ansparphase!$BC$57=0,1,MIN(1,Ansparphase!$BD$57/Ansparphase!$BC$57)))*(1-Parameter!$C$37))*Parameter!$C$36</f>
        <v/>
      </c>
      <c r="AO20" s="40">
        <f>IF(Eingaben!$C$46=1,IF(F20=0,0,MIN(AJ20,Ansparphase!$BB$57*IF(12=0,Eingaben!$C$45,0)+(Ansparphase!$BB$57*(1-Eingaben!$C$45))*$CG$4)),Ansparphase!$BB$57*IF(12=0,Eingaben!$C$45,0))</f>
        <v/>
      </c>
      <c r="AP20" s="40">
        <f>IF(Eingaben!$C$46=1,0,(((Ansparphase!$BA$57*(1-Eingaben!$C$45))+(Ansparphase!$BB$57*(1-Eingaben!$C$45)))*Eingaben!$C$47/10000*12*(1+Eingaben!$C$48)^12*F20)*IF(((Ansparphase!$BA$57*(1-Eingaben!$C$45))+(Ansparphase!$BB$57*(1-Eingaben!$C$45)))=0,0,(Ansparphase!$BB$57*(1-Eingaben!$C$45))/((Ansparphase!$BA$57*(1-Eingaben!$C$45))+(Ansparphase!$BB$57*(1-Eingaben!$C$45)))))</f>
        <v/>
      </c>
      <c r="AQ20" s="40">
        <f>IF(AND(Eingaben!$C$46=2,F20=0),((Ansparphase!$BA$57*(1-Eingaben!$C$45))+(Ansparphase!$BB$57*(1-Eingaben!$C$45)))*Eingaben!$C$47/10000*12*(1+Eingaben!$C$48)^12,0)</f>
        <v/>
      </c>
      <c r="AR20" s="40">
        <f>AI20+AO20*(1-IF(Ansparphase!$BB$57=0,1,MIN(1,$CG$7/Ansparphase!$BB$57)))*Parameter!$C$52+AP20*Parameter!$C$51</f>
        <v/>
      </c>
      <c r="AS20" s="40">
        <f>MAX(0,G20+AR20)</f>
        <v/>
      </c>
      <c r="AT20" s="40">
        <f>MAX(0,(AS20+IF(Eingaben!$C$14=3,Eingaben!$C$15,0))/Parameter!$C$57/D20)</f>
        <v/>
      </c>
      <c r="AU20" s="40">
        <f>Parameter!$C$57*D20*(IF(AT20&lt;=Parameter!$C$18,0,IF(AT20&lt;=Parameter!$C$19,(Parameter!$C$22*(AT20-Parameter!$C$18)/10000+Parameter!$C$23)*(AT20-Parameter!$C$18)/10000,IF(AT20&lt;=Parameter!$C$20,(Parameter!$C$24*(AT20-Parameter!$C$19)/10000+Parameter!$C$25)*(AT20-Parameter!$C$19)/10000+Parameter!$C$26,IF(AT20&lt;=Parameter!$C$21,0.42*AT20-Parameter!$C$27,0.45*AT20-Parameter!$C$28)))))</f>
        <v/>
      </c>
      <c r="AV20" s="40">
        <f>AU20+IF(AU20&lt;=(Parameter!$C$30*Parameter!$C$57*D20),0,MIN(Parameter!$C$29*AU20,Parameter!$C$31*(AU20-(Parameter!$C$30*Parameter!$C$57*D20))))+Eingaben!$C$16*AU20</f>
        <v/>
      </c>
      <c r="AW20" s="40">
        <f>AI20+AK20-(AV20-J20)+AM20-AN20</f>
        <v/>
      </c>
      <c r="AX20" s="40">
        <f>MAX(0,(AX19-AZ19)*(1+Parameter!$C$62))</f>
        <v/>
      </c>
      <c r="AY20" s="40">
        <f>MAX(0,AY19-AY19*IF(AX19=0,0,AZ19/AX19))</f>
        <v/>
      </c>
      <c r="AZ20" s="40">
        <f>IF(F20=0,0,MIN(AX20,Ansparphase!$BG$57*$CG$5))</f>
        <v/>
      </c>
      <c r="BA20" s="40">
        <f>AZ20-IF(AX20=0,0,AY20*AZ20/AX20)</f>
        <v/>
      </c>
      <c r="BB20" s="40">
        <f>MAX(0,BA20*(1-Parameter!$C$37)-Parameter!$C$67)*Parameter!$C$36</f>
        <v/>
      </c>
      <c r="BC20" s="40">
        <f>AZ20-BB20</f>
        <v/>
      </c>
      <c r="BD20" s="38">
        <f>1/(1+Eingaben!$C$40)^C20</f>
        <v/>
      </c>
      <c r="BE20" s="40">
        <f>IF(AND(Eingaben!$C$31=2,F20=0),(Ansparphase!$AY$57+Ansparphase!$AZ$57)*Eingaben!$C$32/10000*12*(1+Eingaben!$C$33)^12,0)</f>
        <v/>
      </c>
      <c r="BF20" s="38">
        <f>1/(1+Parameter!$C$68)^12</f>
        <v/>
      </c>
    </row>
    <row r="21">
      <c r="A21" s="32">
        <f>2026+C21</f>
        <v/>
      </c>
      <c r="B21" s="32">
        <f>Eingaben!$C$6+13</f>
        <v/>
      </c>
      <c r="C21" s="32">
        <f>B21-Eingaben!$C$5</f>
        <v/>
      </c>
      <c r="D21" s="41">
        <f>(1+Eingaben!$C$17)^C21</f>
        <v/>
      </c>
      <c r="E21" s="41">
        <f>(1+Eingaben!$C$13)^C21</f>
        <v/>
      </c>
      <c r="F21" s="32">
        <f>IF(B21&lt;=Eingaben!$C$7,1,0)</f>
        <v/>
      </c>
      <c r="G21" s="43">
        <f>Eingaben!$C$43*(1+Eingaben!$C$40)^C21</f>
        <v/>
      </c>
      <c r="H21" s="43">
        <f>MAX(0,(G21+IF(Eingaben!$C$14=3,Eingaben!$C$15,0))/Parameter!$C$57/D21)</f>
        <v/>
      </c>
      <c r="I21" s="43">
        <f>Parameter!$C$57*D21*(IF(H21&lt;=Parameter!$C$18,0,IF(H21&lt;=Parameter!$C$19,(Parameter!$C$22*(H21-Parameter!$C$18)/10000+Parameter!$C$23)*(H21-Parameter!$C$18)/10000,IF(H21&lt;=Parameter!$C$20,(Parameter!$C$24*(H21-Parameter!$C$19)/10000+Parameter!$C$25)*(H21-Parameter!$C$19)/10000+Parameter!$C$26,IF(H21&lt;=Parameter!$C$21,0.42*H21-Parameter!$C$27,0.45*H21-Parameter!$C$28)))))</f>
        <v/>
      </c>
      <c r="J21" s="43">
        <f>I21+IF(I21&lt;=(Parameter!$C$30*Parameter!$C$57*D21),0,MIN(Parameter!$C$29*I21,Parameter!$C$31*(I21-(Parameter!$C$30*Parameter!$C$57*D21))))+Eingaben!$C$16*I21</f>
        <v/>
      </c>
      <c r="K21" s="43">
        <f>IF(Eingaben!$C$31=1,IF(0=1,Ansparphase!$AY$57,0),(Ansparphase!$AY$57+Ansparphase!$AZ$57)*Eingaben!$C$32/10000*12*(1+Eingaben!$C$33)^13*F21*IF((Ansparphase!$AY$57+Ansparphase!$AZ$57)=0,0,Ansparphase!$AY$57/(Ansparphase!$AY$57+Ansparphase!$AZ$57)))</f>
        <v/>
      </c>
      <c r="L21" s="43">
        <f>IF(Eingaben!$C$31=1,IF(0=1,Ansparphase!$AZ$57,0),(Ansparphase!$AY$57+Ansparphase!$AZ$57)*Eingaben!$C$32/10000*12*(1+Eingaben!$C$33)^13*F21*IF((Ansparphase!$AY$57+Ansparphase!$AZ$57)=0,0,Ansparphase!$AZ$57/(Ansparphase!$AY$57+Ansparphase!$AZ$57)))</f>
        <v/>
      </c>
      <c r="M21" s="43">
        <f>K21+L21</f>
        <v/>
      </c>
      <c r="N21" s="43">
        <f>K21+L21*IF(Eingaben!$C$31=1,(1-IF(Ansparphase!$AZ$57=0,1,MIN(1,$CG$8/Ansparphase!$AZ$57)))*Parameter!$C$52,Parameter!$C$51)</f>
        <v/>
      </c>
      <c r="O21" s="43">
        <f>IF(Eingaben!$C$31=1,IF(13&lt;10,(Ansparphase!$AY$57+Ansparphase!$AZ$57)/120,0),M21/12)</f>
        <v/>
      </c>
      <c r="P21" s="43">
        <f>Eingaben!$C$44/12*(1+Eingaben!$C$13)^C21</f>
        <v/>
      </c>
      <c r="Q21" s="43">
        <f>MAX(0,MIN(O21,Parameter!$C$5/12*E21-P21))</f>
        <v/>
      </c>
      <c r="R21" s="43">
        <f>IF(Eingaben!$C$42=2,0,MAX(0,Q21-Parameter!$C$7*E21)*Parameter!$C$54*12)</f>
        <v/>
      </c>
      <c r="S21" s="43">
        <f>IF(Eingaben!$C$42=2,0,IF(O21&gt;Parameter!$C$7*E21,Q21*Parameter!$C$59*12,0))</f>
        <v/>
      </c>
      <c r="T21" s="43">
        <f>R21+S21</f>
        <v/>
      </c>
      <c r="U21" s="43">
        <f>Ansparphase!$BL$57*Parameter!$C$9*12*(1+Eingaben!$C$13)^(Eingaben!$C$6-Eingaben!$C$5)*(1+Eingaben!$C$13)^13*F21</f>
        <v/>
      </c>
      <c r="V21" s="43">
        <f>U21*Parameter!$C$66</f>
        <v/>
      </c>
      <c r="W21" s="43">
        <f>IF(Eingaben!$C$42=2,0,U21*(Parameter!$C$53+Parameter!$C$59))</f>
        <v/>
      </c>
      <c r="X21" s="43">
        <f>MAX(0,G21-V21+N21-T21+W21)</f>
        <v/>
      </c>
      <c r="Y21" s="43">
        <f>MAX(0,(X21+IF(Eingaben!$C$14=3,Eingaben!$C$15,0))/Parameter!$C$57/D21)</f>
        <v/>
      </c>
      <c r="Z21" s="43">
        <f>Parameter!$C$57*D21*(IF(Y21&lt;=Parameter!$C$18,0,IF(Y21&lt;=Parameter!$C$19,(Parameter!$C$22*(Y21-Parameter!$C$18)/10000+Parameter!$C$23)*(Y21-Parameter!$C$18)/10000,IF(Y21&lt;=Parameter!$C$20,(Parameter!$C$24*(Y21-Parameter!$C$19)/10000+Parameter!$C$25)*(Y21-Parameter!$C$19)/10000+Parameter!$C$26,IF(Y21&lt;=Parameter!$C$21,0.42*Y21-Parameter!$C$27,0.45*Y21-Parameter!$C$28)))))</f>
        <v/>
      </c>
      <c r="AA21" s="43">
        <f>Z21+IF(Z21&lt;=(Parameter!$C$30*Parameter!$C$57*D21),0,MIN(Parameter!$C$29*Z21,Parameter!$C$31*(Z21-(Parameter!$C$30*Parameter!$C$57*D21))))+Eingaben!$C$16*Z21</f>
        <v/>
      </c>
      <c r="AB21" s="43">
        <f>MAX(0,G21-V21+N21/5-T21+W21)</f>
        <v/>
      </c>
      <c r="AC21" s="43">
        <f>MAX(0,(AB21+IF(Eingaben!$C$14=3,Eingaben!$C$15,0))/Parameter!$C$57/D21)</f>
        <v/>
      </c>
      <c r="AD21" s="43">
        <f>Parameter!$C$57*D21*(IF(AC21&lt;=Parameter!$C$18,0,IF(AC21&lt;=Parameter!$C$19,(Parameter!$C$22*(AC21-Parameter!$C$18)/10000+Parameter!$C$23)*(AC21-Parameter!$C$18)/10000,IF(AC21&lt;=Parameter!$C$20,(Parameter!$C$24*(AC21-Parameter!$C$19)/10000+Parameter!$C$25)*(AC21-Parameter!$C$19)/10000+Parameter!$C$26,IF(AC21&lt;=Parameter!$C$21,0.42*AC21-Parameter!$C$27,0.45*AC21-Parameter!$C$28)))))</f>
        <v/>
      </c>
      <c r="AE21" s="43">
        <f>AD21+IF(AD21&lt;=(Parameter!$C$30*Parameter!$C$57*D21),0,MIN(Parameter!$C$29*AD21,Parameter!$C$31*(AD21-(Parameter!$C$30*Parameter!$C$57*D21))))+Eingaben!$C$16*AD21</f>
        <v/>
      </c>
      <c r="AF21" s="43">
        <f>IF(AND(Eingaben!$C$34=1,Eingaben!$C$31=1,M21&gt;0),MIN(AA21-J21,5*(AE21-J21)),AA21-J21)</f>
        <v/>
      </c>
      <c r="AG21" s="43">
        <f>M21-T21-AF21-U21+W21</f>
        <v/>
      </c>
      <c r="AH21" s="43">
        <f>IF(Eingaben!$C$46=2,0,MAX(0,(AH20-AI20)*(1+Parameter!$C$61)))</f>
        <v/>
      </c>
      <c r="AI21" s="43">
        <f>IF(Eingaben!$C$46=1,IF(F21=0,0,MIN(AH21,Ansparphase!$BA$57*IF(13=0,Eingaben!$C$45,0)+(Ansparphase!$BA$57*(1-Eingaben!$C$45))*$CG$4)),Ansparphase!$BA$57*IF(13=0,Eingaben!$C$45,0)+(((Ansparphase!$BA$57*(1-Eingaben!$C$45))+(Ansparphase!$BB$57*(1-Eingaben!$C$45)))*Eingaben!$C$47/10000*12*(1+Eingaben!$C$48)^13*F21)*IF(((Ansparphase!$BA$57*(1-Eingaben!$C$45))+(Ansparphase!$BB$57*(1-Eingaben!$C$45)))=0,0,(Ansparphase!$BA$57*(1-Eingaben!$C$45))/((Ansparphase!$BA$57*(1-Eingaben!$C$45))+(Ansparphase!$BB$57*(1-Eingaben!$C$45)))))</f>
        <v/>
      </c>
      <c r="AJ21" s="43">
        <f>IF(Eingaben!$C$46=2,0,MAX(0,(AJ20-AK20)*(1+Parameter!$C$61)))</f>
        <v/>
      </c>
      <c r="AK21" s="43">
        <f>AO21+AP21</f>
        <v/>
      </c>
      <c r="AL21" s="43">
        <f>MAX(0,(AL20-AM20)*(1+Parameter!$C$62))</f>
        <v/>
      </c>
      <c r="AM21" s="43">
        <f>IF(F21=0,0,MIN(AL21,Ansparphase!$BC$57*$CG$5))</f>
        <v/>
      </c>
      <c r="AN21" s="43">
        <f>MAX(0,AM21*(1-IF(Ansparphase!$BC$57=0,1,MIN(1,Ansparphase!$BD$57/Ansparphase!$BC$57)))*(1-Parameter!$C$37))*Parameter!$C$36</f>
        <v/>
      </c>
      <c r="AO21" s="43">
        <f>IF(Eingaben!$C$46=1,IF(F21=0,0,MIN(AJ21,Ansparphase!$BB$57*IF(13=0,Eingaben!$C$45,0)+(Ansparphase!$BB$57*(1-Eingaben!$C$45))*$CG$4)),Ansparphase!$BB$57*IF(13=0,Eingaben!$C$45,0))</f>
        <v/>
      </c>
      <c r="AP21" s="43">
        <f>IF(Eingaben!$C$46=1,0,(((Ansparphase!$BA$57*(1-Eingaben!$C$45))+(Ansparphase!$BB$57*(1-Eingaben!$C$45)))*Eingaben!$C$47/10000*12*(1+Eingaben!$C$48)^13*F21)*IF(((Ansparphase!$BA$57*(1-Eingaben!$C$45))+(Ansparphase!$BB$57*(1-Eingaben!$C$45)))=0,0,(Ansparphase!$BB$57*(1-Eingaben!$C$45))/((Ansparphase!$BA$57*(1-Eingaben!$C$45))+(Ansparphase!$BB$57*(1-Eingaben!$C$45)))))</f>
        <v/>
      </c>
      <c r="AQ21" s="43">
        <f>IF(AND(Eingaben!$C$46=2,F21=0),((Ansparphase!$BA$57*(1-Eingaben!$C$45))+(Ansparphase!$BB$57*(1-Eingaben!$C$45)))*Eingaben!$C$47/10000*12*(1+Eingaben!$C$48)^13,0)</f>
        <v/>
      </c>
      <c r="AR21" s="43">
        <f>AI21+AO21*(1-IF(Ansparphase!$BB$57=0,1,MIN(1,$CG$7/Ansparphase!$BB$57)))*Parameter!$C$52+AP21*Parameter!$C$51</f>
        <v/>
      </c>
      <c r="AS21" s="43">
        <f>MAX(0,G21+AR21)</f>
        <v/>
      </c>
      <c r="AT21" s="43">
        <f>MAX(0,(AS21+IF(Eingaben!$C$14=3,Eingaben!$C$15,0))/Parameter!$C$57/D21)</f>
        <v/>
      </c>
      <c r="AU21" s="43">
        <f>Parameter!$C$57*D21*(IF(AT21&lt;=Parameter!$C$18,0,IF(AT21&lt;=Parameter!$C$19,(Parameter!$C$22*(AT21-Parameter!$C$18)/10000+Parameter!$C$23)*(AT21-Parameter!$C$18)/10000,IF(AT21&lt;=Parameter!$C$20,(Parameter!$C$24*(AT21-Parameter!$C$19)/10000+Parameter!$C$25)*(AT21-Parameter!$C$19)/10000+Parameter!$C$26,IF(AT21&lt;=Parameter!$C$21,0.42*AT21-Parameter!$C$27,0.45*AT21-Parameter!$C$28)))))</f>
        <v/>
      </c>
      <c r="AV21" s="43">
        <f>AU21+IF(AU21&lt;=(Parameter!$C$30*Parameter!$C$57*D21),0,MIN(Parameter!$C$29*AU21,Parameter!$C$31*(AU21-(Parameter!$C$30*Parameter!$C$57*D21))))+Eingaben!$C$16*AU21</f>
        <v/>
      </c>
      <c r="AW21" s="43">
        <f>AI21+AK21-(AV21-J21)+AM21-AN21</f>
        <v/>
      </c>
      <c r="AX21" s="43">
        <f>MAX(0,(AX20-AZ20)*(1+Parameter!$C$62))</f>
        <v/>
      </c>
      <c r="AY21" s="43">
        <f>MAX(0,AY20-AY20*IF(AX20=0,0,AZ20/AX20))</f>
        <v/>
      </c>
      <c r="AZ21" s="43">
        <f>IF(F21=0,0,MIN(AX21,Ansparphase!$BG$57*$CG$5))</f>
        <v/>
      </c>
      <c r="BA21" s="43">
        <f>AZ21-IF(AX21=0,0,AY21*AZ21/AX21)</f>
        <v/>
      </c>
      <c r="BB21" s="43">
        <f>MAX(0,BA21*(1-Parameter!$C$37)-Parameter!$C$67)*Parameter!$C$36</f>
        <v/>
      </c>
      <c r="BC21" s="43">
        <f>AZ21-BB21</f>
        <v/>
      </c>
      <c r="BD21" s="41">
        <f>1/(1+Eingaben!$C$40)^C21</f>
        <v/>
      </c>
      <c r="BE21" s="43">
        <f>IF(AND(Eingaben!$C$31=2,F21=0),(Ansparphase!$AY$57+Ansparphase!$AZ$57)*Eingaben!$C$32/10000*12*(1+Eingaben!$C$33)^13,0)</f>
        <v/>
      </c>
      <c r="BF21" s="41">
        <f>1/(1+Parameter!$C$68)^13</f>
        <v/>
      </c>
    </row>
    <row r="22">
      <c r="A22" s="30">
        <f>2026+C22</f>
        <v/>
      </c>
      <c r="B22" s="30">
        <f>Eingaben!$C$6+14</f>
        <v/>
      </c>
      <c r="C22" s="30">
        <f>B22-Eingaben!$C$5</f>
        <v/>
      </c>
      <c r="D22" s="38">
        <f>(1+Eingaben!$C$17)^C22</f>
        <v/>
      </c>
      <c r="E22" s="38">
        <f>(1+Eingaben!$C$13)^C22</f>
        <v/>
      </c>
      <c r="F22" s="30">
        <f>IF(B22&lt;=Eingaben!$C$7,1,0)</f>
        <v/>
      </c>
      <c r="G22" s="40">
        <f>Eingaben!$C$43*(1+Eingaben!$C$40)^C22</f>
        <v/>
      </c>
      <c r="H22" s="40">
        <f>MAX(0,(G22+IF(Eingaben!$C$14=3,Eingaben!$C$15,0))/Parameter!$C$57/D22)</f>
        <v/>
      </c>
      <c r="I22" s="40">
        <f>Parameter!$C$57*D22*(IF(H22&lt;=Parameter!$C$18,0,IF(H22&lt;=Parameter!$C$19,(Parameter!$C$22*(H22-Parameter!$C$18)/10000+Parameter!$C$23)*(H22-Parameter!$C$18)/10000,IF(H22&lt;=Parameter!$C$20,(Parameter!$C$24*(H22-Parameter!$C$19)/10000+Parameter!$C$25)*(H22-Parameter!$C$19)/10000+Parameter!$C$26,IF(H22&lt;=Parameter!$C$21,0.42*H22-Parameter!$C$27,0.45*H22-Parameter!$C$28)))))</f>
        <v/>
      </c>
      <c r="J22" s="40">
        <f>I22+IF(I22&lt;=(Parameter!$C$30*Parameter!$C$57*D22),0,MIN(Parameter!$C$29*I22,Parameter!$C$31*(I22-(Parameter!$C$30*Parameter!$C$57*D22))))+Eingaben!$C$16*I22</f>
        <v/>
      </c>
      <c r="K22" s="40">
        <f>IF(Eingaben!$C$31=1,IF(0=1,Ansparphase!$AY$57,0),(Ansparphase!$AY$57+Ansparphase!$AZ$57)*Eingaben!$C$32/10000*12*(1+Eingaben!$C$33)^14*F22*IF((Ansparphase!$AY$57+Ansparphase!$AZ$57)=0,0,Ansparphase!$AY$57/(Ansparphase!$AY$57+Ansparphase!$AZ$57)))</f>
        <v/>
      </c>
      <c r="L22" s="40">
        <f>IF(Eingaben!$C$31=1,IF(0=1,Ansparphase!$AZ$57,0),(Ansparphase!$AY$57+Ansparphase!$AZ$57)*Eingaben!$C$32/10000*12*(1+Eingaben!$C$33)^14*F22*IF((Ansparphase!$AY$57+Ansparphase!$AZ$57)=0,0,Ansparphase!$AZ$57/(Ansparphase!$AY$57+Ansparphase!$AZ$57)))</f>
        <v/>
      </c>
      <c r="M22" s="40">
        <f>K22+L22</f>
        <v/>
      </c>
      <c r="N22" s="40">
        <f>K22+L22*IF(Eingaben!$C$31=1,(1-IF(Ansparphase!$AZ$57=0,1,MIN(1,$CG$8/Ansparphase!$AZ$57)))*Parameter!$C$52,Parameter!$C$51)</f>
        <v/>
      </c>
      <c r="O22" s="40">
        <f>IF(Eingaben!$C$31=1,IF(14&lt;10,(Ansparphase!$AY$57+Ansparphase!$AZ$57)/120,0),M22/12)</f>
        <v/>
      </c>
      <c r="P22" s="40">
        <f>Eingaben!$C$44/12*(1+Eingaben!$C$13)^C22</f>
        <v/>
      </c>
      <c r="Q22" s="40">
        <f>MAX(0,MIN(O22,Parameter!$C$5/12*E22-P22))</f>
        <v/>
      </c>
      <c r="R22" s="40">
        <f>IF(Eingaben!$C$42=2,0,MAX(0,Q22-Parameter!$C$7*E22)*Parameter!$C$54*12)</f>
        <v/>
      </c>
      <c r="S22" s="40">
        <f>IF(Eingaben!$C$42=2,0,IF(O22&gt;Parameter!$C$7*E22,Q22*Parameter!$C$59*12,0))</f>
        <v/>
      </c>
      <c r="T22" s="40">
        <f>R22+S22</f>
        <v/>
      </c>
      <c r="U22" s="40">
        <f>Ansparphase!$BL$57*Parameter!$C$9*12*(1+Eingaben!$C$13)^(Eingaben!$C$6-Eingaben!$C$5)*(1+Eingaben!$C$13)^14*F22</f>
        <v/>
      </c>
      <c r="V22" s="40">
        <f>U22*Parameter!$C$66</f>
        <v/>
      </c>
      <c r="W22" s="40">
        <f>IF(Eingaben!$C$42=2,0,U22*(Parameter!$C$53+Parameter!$C$59))</f>
        <v/>
      </c>
      <c r="X22" s="40">
        <f>MAX(0,G22-V22+N22-T22+W22)</f>
        <v/>
      </c>
      <c r="Y22" s="40">
        <f>MAX(0,(X22+IF(Eingaben!$C$14=3,Eingaben!$C$15,0))/Parameter!$C$57/D22)</f>
        <v/>
      </c>
      <c r="Z22" s="40">
        <f>Parameter!$C$57*D22*(IF(Y22&lt;=Parameter!$C$18,0,IF(Y22&lt;=Parameter!$C$19,(Parameter!$C$22*(Y22-Parameter!$C$18)/10000+Parameter!$C$23)*(Y22-Parameter!$C$18)/10000,IF(Y22&lt;=Parameter!$C$20,(Parameter!$C$24*(Y22-Parameter!$C$19)/10000+Parameter!$C$25)*(Y22-Parameter!$C$19)/10000+Parameter!$C$26,IF(Y22&lt;=Parameter!$C$21,0.42*Y22-Parameter!$C$27,0.45*Y22-Parameter!$C$28)))))</f>
        <v/>
      </c>
      <c r="AA22" s="40">
        <f>Z22+IF(Z22&lt;=(Parameter!$C$30*Parameter!$C$57*D22),0,MIN(Parameter!$C$29*Z22,Parameter!$C$31*(Z22-(Parameter!$C$30*Parameter!$C$57*D22))))+Eingaben!$C$16*Z22</f>
        <v/>
      </c>
      <c r="AB22" s="40">
        <f>MAX(0,G22-V22+N22/5-T22+W22)</f>
        <v/>
      </c>
      <c r="AC22" s="40">
        <f>MAX(0,(AB22+IF(Eingaben!$C$14=3,Eingaben!$C$15,0))/Parameter!$C$57/D22)</f>
        <v/>
      </c>
      <c r="AD22" s="40">
        <f>Parameter!$C$57*D22*(IF(AC22&lt;=Parameter!$C$18,0,IF(AC22&lt;=Parameter!$C$19,(Parameter!$C$22*(AC22-Parameter!$C$18)/10000+Parameter!$C$23)*(AC22-Parameter!$C$18)/10000,IF(AC22&lt;=Parameter!$C$20,(Parameter!$C$24*(AC22-Parameter!$C$19)/10000+Parameter!$C$25)*(AC22-Parameter!$C$19)/10000+Parameter!$C$26,IF(AC22&lt;=Parameter!$C$21,0.42*AC22-Parameter!$C$27,0.45*AC22-Parameter!$C$28)))))</f>
        <v/>
      </c>
      <c r="AE22" s="40">
        <f>AD22+IF(AD22&lt;=(Parameter!$C$30*Parameter!$C$57*D22),0,MIN(Parameter!$C$29*AD22,Parameter!$C$31*(AD22-(Parameter!$C$30*Parameter!$C$57*D22))))+Eingaben!$C$16*AD22</f>
        <v/>
      </c>
      <c r="AF22" s="40">
        <f>IF(AND(Eingaben!$C$34=1,Eingaben!$C$31=1,M22&gt;0),MIN(AA22-J22,5*(AE22-J22)),AA22-J22)</f>
        <v/>
      </c>
      <c r="AG22" s="40">
        <f>M22-T22-AF22-U22+W22</f>
        <v/>
      </c>
      <c r="AH22" s="40">
        <f>IF(Eingaben!$C$46=2,0,MAX(0,(AH21-AI21)*(1+Parameter!$C$61)))</f>
        <v/>
      </c>
      <c r="AI22" s="40">
        <f>IF(Eingaben!$C$46=1,IF(F22=0,0,MIN(AH22,Ansparphase!$BA$57*IF(14=0,Eingaben!$C$45,0)+(Ansparphase!$BA$57*(1-Eingaben!$C$45))*$CG$4)),Ansparphase!$BA$57*IF(14=0,Eingaben!$C$45,0)+(((Ansparphase!$BA$57*(1-Eingaben!$C$45))+(Ansparphase!$BB$57*(1-Eingaben!$C$45)))*Eingaben!$C$47/10000*12*(1+Eingaben!$C$48)^14*F22)*IF(((Ansparphase!$BA$57*(1-Eingaben!$C$45))+(Ansparphase!$BB$57*(1-Eingaben!$C$45)))=0,0,(Ansparphase!$BA$57*(1-Eingaben!$C$45))/((Ansparphase!$BA$57*(1-Eingaben!$C$45))+(Ansparphase!$BB$57*(1-Eingaben!$C$45)))))</f>
        <v/>
      </c>
      <c r="AJ22" s="40">
        <f>IF(Eingaben!$C$46=2,0,MAX(0,(AJ21-AK21)*(1+Parameter!$C$61)))</f>
        <v/>
      </c>
      <c r="AK22" s="40">
        <f>AO22+AP22</f>
        <v/>
      </c>
      <c r="AL22" s="40">
        <f>MAX(0,(AL21-AM21)*(1+Parameter!$C$62))</f>
        <v/>
      </c>
      <c r="AM22" s="40">
        <f>IF(F22=0,0,MIN(AL22,Ansparphase!$BC$57*$CG$5))</f>
        <v/>
      </c>
      <c r="AN22" s="40">
        <f>MAX(0,AM22*(1-IF(Ansparphase!$BC$57=0,1,MIN(1,Ansparphase!$BD$57/Ansparphase!$BC$57)))*(1-Parameter!$C$37))*Parameter!$C$36</f>
        <v/>
      </c>
      <c r="AO22" s="40">
        <f>IF(Eingaben!$C$46=1,IF(F22=0,0,MIN(AJ22,Ansparphase!$BB$57*IF(14=0,Eingaben!$C$45,0)+(Ansparphase!$BB$57*(1-Eingaben!$C$45))*$CG$4)),Ansparphase!$BB$57*IF(14=0,Eingaben!$C$45,0))</f>
        <v/>
      </c>
      <c r="AP22" s="40">
        <f>IF(Eingaben!$C$46=1,0,(((Ansparphase!$BA$57*(1-Eingaben!$C$45))+(Ansparphase!$BB$57*(1-Eingaben!$C$45)))*Eingaben!$C$47/10000*12*(1+Eingaben!$C$48)^14*F22)*IF(((Ansparphase!$BA$57*(1-Eingaben!$C$45))+(Ansparphase!$BB$57*(1-Eingaben!$C$45)))=0,0,(Ansparphase!$BB$57*(1-Eingaben!$C$45))/((Ansparphase!$BA$57*(1-Eingaben!$C$45))+(Ansparphase!$BB$57*(1-Eingaben!$C$45)))))</f>
        <v/>
      </c>
      <c r="AQ22" s="40">
        <f>IF(AND(Eingaben!$C$46=2,F22=0),((Ansparphase!$BA$57*(1-Eingaben!$C$45))+(Ansparphase!$BB$57*(1-Eingaben!$C$45)))*Eingaben!$C$47/10000*12*(1+Eingaben!$C$48)^14,0)</f>
        <v/>
      </c>
      <c r="AR22" s="40">
        <f>AI22+AO22*(1-IF(Ansparphase!$BB$57=0,1,MIN(1,$CG$7/Ansparphase!$BB$57)))*Parameter!$C$52+AP22*Parameter!$C$51</f>
        <v/>
      </c>
      <c r="AS22" s="40">
        <f>MAX(0,G22+AR22)</f>
        <v/>
      </c>
      <c r="AT22" s="40">
        <f>MAX(0,(AS22+IF(Eingaben!$C$14=3,Eingaben!$C$15,0))/Parameter!$C$57/D22)</f>
        <v/>
      </c>
      <c r="AU22" s="40">
        <f>Parameter!$C$57*D22*(IF(AT22&lt;=Parameter!$C$18,0,IF(AT22&lt;=Parameter!$C$19,(Parameter!$C$22*(AT22-Parameter!$C$18)/10000+Parameter!$C$23)*(AT22-Parameter!$C$18)/10000,IF(AT22&lt;=Parameter!$C$20,(Parameter!$C$24*(AT22-Parameter!$C$19)/10000+Parameter!$C$25)*(AT22-Parameter!$C$19)/10000+Parameter!$C$26,IF(AT22&lt;=Parameter!$C$21,0.42*AT22-Parameter!$C$27,0.45*AT22-Parameter!$C$28)))))</f>
        <v/>
      </c>
      <c r="AV22" s="40">
        <f>AU22+IF(AU22&lt;=(Parameter!$C$30*Parameter!$C$57*D22),0,MIN(Parameter!$C$29*AU22,Parameter!$C$31*(AU22-(Parameter!$C$30*Parameter!$C$57*D22))))+Eingaben!$C$16*AU22</f>
        <v/>
      </c>
      <c r="AW22" s="40">
        <f>AI22+AK22-(AV22-J22)+AM22-AN22</f>
        <v/>
      </c>
      <c r="AX22" s="40">
        <f>MAX(0,(AX21-AZ21)*(1+Parameter!$C$62))</f>
        <v/>
      </c>
      <c r="AY22" s="40">
        <f>MAX(0,AY21-AY21*IF(AX21=0,0,AZ21/AX21))</f>
        <v/>
      </c>
      <c r="AZ22" s="40">
        <f>IF(F22=0,0,MIN(AX22,Ansparphase!$BG$57*$CG$5))</f>
        <v/>
      </c>
      <c r="BA22" s="40">
        <f>AZ22-IF(AX22=0,0,AY22*AZ22/AX22)</f>
        <v/>
      </c>
      <c r="BB22" s="40">
        <f>MAX(0,BA22*(1-Parameter!$C$37)-Parameter!$C$67)*Parameter!$C$36</f>
        <v/>
      </c>
      <c r="BC22" s="40">
        <f>AZ22-BB22</f>
        <v/>
      </c>
      <c r="BD22" s="38">
        <f>1/(1+Eingaben!$C$40)^C22</f>
        <v/>
      </c>
      <c r="BE22" s="40">
        <f>IF(AND(Eingaben!$C$31=2,F22=0),(Ansparphase!$AY$57+Ansparphase!$AZ$57)*Eingaben!$C$32/10000*12*(1+Eingaben!$C$33)^14,0)</f>
        <v/>
      </c>
      <c r="BF22" s="38">
        <f>1/(1+Parameter!$C$68)^14</f>
        <v/>
      </c>
    </row>
    <row r="23">
      <c r="A23" s="32">
        <f>2026+C23</f>
        <v/>
      </c>
      <c r="B23" s="32">
        <f>Eingaben!$C$6+15</f>
        <v/>
      </c>
      <c r="C23" s="32">
        <f>B23-Eingaben!$C$5</f>
        <v/>
      </c>
      <c r="D23" s="41">
        <f>(1+Eingaben!$C$17)^C23</f>
        <v/>
      </c>
      <c r="E23" s="41">
        <f>(1+Eingaben!$C$13)^C23</f>
        <v/>
      </c>
      <c r="F23" s="32">
        <f>IF(B23&lt;=Eingaben!$C$7,1,0)</f>
        <v/>
      </c>
      <c r="G23" s="43">
        <f>Eingaben!$C$43*(1+Eingaben!$C$40)^C23</f>
        <v/>
      </c>
      <c r="H23" s="43">
        <f>MAX(0,(G23+IF(Eingaben!$C$14=3,Eingaben!$C$15,0))/Parameter!$C$57/D23)</f>
        <v/>
      </c>
      <c r="I23" s="43">
        <f>Parameter!$C$57*D23*(IF(H23&lt;=Parameter!$C$18,0,IF(H23&lt;=Parameter!$C$19,(Parameter!$C$22*(H23-Parameter!$C$18)/10000+Parameter!$C$23)*(H23-Parameter!$C$18)/10000,IF(H23&lt;=Parameter!$C$20,(Parameter!$C$24*(H23-Parameter!$C$19)/10000+Parameter!$C$25)*(H23-Parameter!$C$19)/10000+Parameter!$C$26,IF(H23&lt;=Parameter!$C$21,0.42*H23-Parameter!$C$27,0.45*H23-Parameter!$C$28)))))</f>
        <v/>
      </c>
      <c r="J23" s="43">
        <f>I23+IF(I23&lt;=(Parameter!$C$30*Parameter!$C$57*D23),0,MIN(Parameter!$C$29*I23,Parameter!$C$31*(I23-(Parameter!$C$30*Parameter!$C$57*D23))))+Eingaben!$C$16*I23</f>
        <v/>
      </c>
      <c r="K23" s="43">
        <f>IF(Eingaben!$C$31=1,IF(0=1,Ansparphase!$AY$57,0),(Ansparphase!$AY$57+Ansparphase!$AZ$57)*Eingaben!$C$32/10000*12*(1+Eingaben!$C$33)^15*F23*IF((Ansparphase!$AY$57+Ansparphase!$AZ$57)=0,0,Ansparphase!$AY$57/(Ansparphase!$AY$57+Ansparphase!$AZ$57)))</f>
        <v/>
      </c>
      <c r="L23" s="43">
        <f>IF(Eingaben!$C$31=1,IF(0=1,Ansparphase!$AZ$57,0),(Ansparphase!$AY$57+Ansparphase!$AZ$57)*Eingaben!$C$32/10000*12*(1+Eingaben!$C$33)^15*F23*IF((Ansparphase!$AY$57+Ansparphase!$AZ$57)=0,0,Ansparphase!$AZ$57/(Ansparphase!$AY$57+Ansparphase!$AZ$57)))</f>
        <v/>
      </c>
      <c r="M23" s="43">
        <f>K23+L23</f>
        <v/>
      </c>
      <c r="N23" s="43">
        <f>K23+L23*IF(Eingaben!$C$31=1,(1-IF(Ansparphase!$AZ$57=0,1,MIN(1,$CG$8/Ansparphase!$AZ$57)))*Parameter!$C$52,Parameter!$C$51)</f>
        <v/>
      </c>
      <c r="O23" s="43">
        <f>IF(Eingaben!$C$31=1,IF(15&lt;10,(Ansparphase!$AY$57+Ansparphase!$AZ$57)/120,0),M23/12)</f>
        <v/>
      </c>
      <c r="P23" s="43">
        <f>Eingaben!$C$44/12*(1+Eingaben!$C$13)^C23</f>
        <v/>
      </c>
      <c r="Q23" s="43">
        <f>MAX(0,MIN(O23,Parameter!$C$5/12*E23-P23))</f>
        <v/>
      </c>
      <c r="R23" s="43">
        <f>IF(Eingaben!$C$42=2,0,MAX(0,Q23-Parameter!$C$7*E23)*Parameter!$C$54*12)</f>
        <v/>
      </c>
      <c r="S23" s="43">
        <f>IF(Eingaben!$C$42=2,0,IF(O23&gt;Parameter!$C$7*E23,Q23*Parameter!$C$59*12,0))</f>
        <v/>
      </c>
      <c r="T23" s="43">
        <f>R23+S23</f>
        <v/>
      </c>
      <c r="U23" s="43">
        <f>Ansparphase!$BL$57*Parameter!$C$9*12*(1+Eingaben!$C$13)^(Eingaben!$C$6-Eingaben!$C$5)*(1+Eingaben!$C$13)^15*F23</f>
        <v/>
      </c>
      <c r="V23" s="43">
        <f>U23*Parameter!$C$66</f>
        <v/>
      </c>
      <c r="W23" s="43">
        <f>IF(Eingaben!$C$42=2,0,U23*(Parameter!$C$53+Parameter!$C$59))</f>
        <v/>
      </c>
      <c r="X23" s="43">
        <f>MAX(0,G23-V23+N23-T23+W23)</f>
        <v/>
      </c>
      <c r="Y23" s="43">
        <f>MAX(0,(X23+IF(Eingaben!$C$14=3,Eingaben!$C$15,0))/Parameter!$C$57/D23)</f>
        <v/>
      </c>
      <c r="Z23" s="43">
        <f>Parameter!$C$57*D23*(IF(Y23&lt;=Parameter!$C$18,0,IF(Y23&lt;=Parameter!$C$19,(Parameter!$C$22*(Y23-Parameter!$C$18)/10000+Parameter!$C$23)*(Y23-Parameter!$C$18)/10000,IF(Y23&lt;=Parameter!$C$20,(Parameter!$C$24*(Y23-Parameter!$C$19)/10000+Parameter!$C$25)*(Y23-Parameter!$C$19)/10000+Parameter!$C$26,IF(Y23&lt;=Parameter!$C$21,0.42*Y23-Parameter!$C$27,0.45*Y23-Parameter!$C$28)))))</f>
        <v/>
      </c>
      <c r="AA23" s="43">
        <f>Z23+IF(Z23&lt;=(Parameter!$C$30*Parameter!$C$57*D23),0,MIN(Parameter!$C$29*Z23,Parameter!$C$31*(Z23-(Parameter!$C$30*Parameter!$C$57*D23))))+Eingaben!$C$16*Z23</f>
        <v/>
      </c>
      <c r="AB23" s="43">
        <f>MAX(0,G23-V23+N23/5-T23+W23)</f>
        <v/>
      </c>
      <c r="AC23" s="43">
        <f>MAX(0,(AB23+IF(Eingaben!$C$14=3,Eingaben!$C$15,0))/Parameter!$C$57/D23)</f>
        <v/>
      </c>
      <c r="AD23" s="43">
        <f>Parameter!$C$57*D23*(IF(AC23&lt;=Parameter!$C$18,0,IF(AC23&lt;=Parameter!$C$19,(Parameter!$C$22*(AC23-Parameter!$C$18)/10000+Parameter!$C$23)*(AC23-Parameter!$C$18)/10000,IF(AC23&lt;=Parameter!$C$20,(Parameter!$C$24*(AC23-Parameter!$C$19)/10000+Parameter!$C$25)*(AC23-Parameter!$C$19)/10000+Parameter!$C$26,IF(AC23&lt;=Parameter!$C$21,0.42*AC23-Parameter!$C$27,0.45*AC23-Parameter!$C$28)))))</f>
        <v/>
      </c>
      <c r="AE23" s="43">
        <f>AD23+IF(AD23&lt;=(Parameter!$C$30*Parameter!$C$57*D23),0,MIN(Parameter!$C$29*AD23,Parameter!$C$31*(AD23-(Parameter!$C$30*Parameter!$C$57*D23))))+Eingaben!$C$16*AD23</f>
        <v/>
      </c>
      <c r="AF23" s="43">
        <f>IF(AND(Eingaben!$C$34=1,Eingaben!$C$31=1,M23&gt;0),MIN(AA23-J23,5*(AE23-J23)),AA23-J23)</f>
        <v/>
      </c>
      <c r="AG23" s="43">
        <f>M23-T23-AF23-U23+W23</f>
        <v/>
      </c>
      <c r="AH23" s="43">
        <f>IF(Eingaben!$C$46=2,0,MAX(0,(AH22-AI22)*(1+Parameter!$C$61)))</f>
        <v/>
      </c>
      <c r="AI23" s="43">
        <f>IF(Eingaben!$C$46=1,IF(F23=0,0,MIN(AH23,Ansparphase!$BA$57*IF(15=0,Eingaben!$C$45,0)+(Ansparphase!$BA$57*(1-Eingaben!$C$45))*$CG$4)),Ansparphase!$BA$57*IF(15=0,Eingaben!$C$45,0)+(((Ansparphase!$BA$57*(1-Eingaben!$C$45))+(Ansparphase!$BB$57*(1-Eingaben!$C$45)))*Eingaben!$C$47/10000*12*(1+Eingaben!$C$48)^15*F23)*IF(((Ansparphase!$BA$57*(1-Eingaben!$C$45))+(Ansparphase!$BB$57*(1-Eingaben!$C$45)))=0,0,(Ansparphase!$BA$57*(1-Eingaben!$C$45))/((Ansparphase!$BA$57*(1-Eingaben!$C$45))+(Ansparphase!$BB$57*(1-Eingaben!$C$45)))))</f>
        <v/>
      </c>
      <c r="AJ23" s="43">
        <f>IF(Eingaben!$C$46=2,0,MAX(0,(AJ22-AK22)*(1+Parameter!$C$61)))</f>
        <v/>
      </c>
      <c r="AK23" s="43">
        <f>AO23+AP23</f>
        <v/>
      </c>
      <c r="AL23" s="43">
        <f>MAX(0,(AL22-AM22)*(1+Parameter!$C$62))</f>
        <v/>
      </c>
      <c r="AM23" s="43">
        <f>IF(F23=0,0,MIN(AL23,Ansparphase!$BC$57*$CG$5))</f>
        <v/>
      </c>
      <c r="AN23" s="43">
        <f>MAX(0,AM23*(1-IF(Ansparphase!$BC$57=0,1,MIN(1,Ansparphase!$BD$57/Ansparphase!$BC$57)))*(1-Parameter!$C$37))*Parameter!$C$36</f>
        <v/>
      </c>
      <c r="AO23" s="43">
        <f>IF(Eingaben!$C$46=1,IF(F23=0,0,MIN(AJ23,Ansparphase!$BB$57*IF(15=0,Eingaben!$C$45,0)+(Ansparphase!$BB$57*(1-Eingaben!$C$45))*$CG$4)),Ansparphase!$BB$57*IF(15=0,Eingaben!$C$45,0))</f>
        <v/>
      </c>
      <c r="AP23" s="43">
        <f>IF(Eingaben!$C$46=1,0,(((Ansparphase!$BA$57*(1-Eingaben!$C$45))+(Ansparphase!$BB$57*(1-Eingaben!$C$45)))*Eingaben!$C$47/10000*12*(1+Eingaben!$C$48)^15*F23)*IF(((Ansparphase!$BA$57*(1-Eingaben!$C$45))+(Ansparphase!$BB$57*(1-Eingaben!$C$45)))=0,0,(Ansparphase!$BB$57*(1-Eingaben!$C$45))/((Ansparphase!$BA$57*(1-Eingaben!$C$45))+(Ansparphase!$BB$57*(1-Eingaben!$C$45)))))</f>
        <v/>
      </c>
      <c r="AQ23" s="43">
        <f>IF(AND(Eingaben!$C$46=2,F23=0),((Ansparphase!$BA$57*(1-Eingaben!$C$45))+(Ansparphase!$BB$57*(1-Eingaben!$C$45)))*Eingaben!$C$47/10000*12*(1+Eingaben!$C$48)^15,0)</f>
        <v/>
      </c>
      <c r="AR23" s="43">
        <f>AI23+AO23*(1-IF(Ansparphase!$BB$57=0,1,MIN(1,$CG$7/Ansparphase!$BB$57)))*Parameter!$C$52+AP23*Parameter!$C$51</f>
        <v/>
      </c>
      <c r="AS23" s="43">
        <f>MAX(0,G23+AR23)</f>
        <v/>
      </c>
      <c r="AT23" s="43">
        <f>MAX(0,(AS23+IF(Eingaben!$C$14=3,Eingaben!$C$15,0))/Parameter!$C$57/D23)</f>
        <v/>
      </c>
      <c r="AU23" s="43">
        <f>Parameter!$C$57*D23*(IF(AT23&lt;=Parameter!$C$18,0,IF(AT23&lt;=Parameter!$C$19,(Parameter!$C$22*(AT23-Parameter!$C$18)/10000+Parameter!$C$23)*(AT23-Parameter!$C$18)/10000,IF(AT23&lt;=Parameter!$C$20,(Parameter!$C$24*(AT23-Parameter!$C$19)/10000+Parameter!$C$25)*(AT23-Parameter!$C$19)/10000+Parameter!$C$26,IF(AT23&lt;=Parameter!$C$21,0.42*AT23-Parameter!$C$27,0.45*AT23-Parameter!$C$28)))))</f>
        <v/>
      </c>
      <c r="AV23" s="43">
        <f>AU23+IF(AU23&lt;=(Parameter!$C$30*Parameter!$C$57*D23),0,MIN(Parameter!$C$29*AU23,Parameter!$C$31*(AU23-(Parameter!$C$30*Parameter!$C$57*D23))))+Eingaben!$C$16*AU23</f>
        <v/>
      </c>
      <c r="AW23" s="43">
        <f>AI23+AK23-(AV23-J23)+AM23-AN23</f>
        <v/>
      </c>
      <c r="AX23" s="43">
        <f>MAX(0,(AX22-AZ22)*(1+Parameter!$C$62))</f>
        <v/>
      </c>
      <c r="AY23" s="43">
        <f>MAX(0,AY22-AY22*IF(AX22=0,0,AZ22/AX22))</f>
        <v/>
      </c>
      <c r="AZ23" s="43">
        <f>IF(F23=0,0,MIN(AX23,Ansparphase!$BG$57*$CG$5))</f>
        <v/>
      </c>
      <c r="BA23" s="43">
        <f>AZ23-IF(AX23=0,0,AY23*AZ23/AX23)</f>
        <v/>
      </c>
      <c r="BB23" s="43">
        <f>MAX(0,BA23*(1-Parameter!$C$37)-Parameter!$C$67)*Parameter!$C$36</f>
        <v/>
      </c>
      <c r="BC23" s="43">
        <f>AZ23-BB23</f>
        <v/>
      </c>
      <c r="BD23" s="41">
        <f>1/(1+Eingaben!$C$40)^C23</f>
        <v/>
      </c>
      <c r="BE23" s="43">
        <f>IF(AND(Eingaben!$C$31=2,F23=0),(Ansparphase!$AY$57+Ansparphase!$AZ$57)*Eingaben!$C$32/10000*12*(1+Eingaben!$C$33)^15,0)</f>
        <v/>
      </c>
      <c r="BF23" s="41">
        <f>1/(1+Parameter!$C$68)^15</f>
        <v/>
      </c>
    </row>
    <row r="24">
      <c r="A24" s="30">
        <f>2026+C24</f>
        <v/>
      </c>
      <c r="B24" s="30">
        <f>Eingaben!$C$6+16</f>
        <v/>
      </c>
      <c r="C24" s="30">
        <f>B24-Eingaben!$C$5</f>
        <v/>
      </c>
      <c r="D24" s="38">
        <f>(1+Eingaben!$C$17)^C24</f>
        <v/>
      </c>
      <c r="E24" s="38">
        <f>(1+Eingaben!$C$13)^C24</f>
        <v/>
      </c>
      <c r="F24" s="30">
        <f>IF(B24&lt;=Eingaben!$C$7,1,0)</f>
        <v/>
      </c>
      <c r="G24" s="40">
        <f>Eingaben!$C$43*(1+Eingaben!$C$40)^C24</f>
        <v/>
      </c>
      <c r="H24" s="40">
        <f>MAX(0,(G24+IF(Eingaben!$C$14=3,Eingaben!$C$15,0))/Parameter!$C$57/D24)</f>
        <v/>
      </c>
      <c r="I24" s="40">
        <f>Parameter!$C$57*D24*(IF(H24&lt;=Parameter!$C$18,0,IF(H24&lt;=Parameter!$C$19,(Parameter!$C$22*(H24-Parameter!$C$18)/10000+Parameter!$C$23)*(H24-Parameter!$C$18)/10000,IF(H24&lt;=Parameter!$C$20,(Parameter!$C$24*(H24-Parameter!$C$19)/10000+Parameter!$C$25)*(H24-Parameter!$C$19)/10000+Parameter!$C$26,IF(H24&lt;=Parameter!$C$21,0.42*H24-Parameter!$C$27,0.45*H24-Parameter!$C$28)))))</f>
        <v/>
      </c>
      <c r="J24" s="40">
        <f>I24+IF(I24&lt;=(Parameter!$C$30*Parameter!$C$57*D24),0,MIN(Parameter!$C$29*I24,Parameter!$C$31*(I24-(Parameter!$C$30*Parameter!$C$57*D24))))+Eingaben!$C$16*I24</f>
        <v/>
      </c>
      <c r="K24" s="40">
        <f>IF(Eingaben!$C$31=1,IF(0=1,Ansparphase!$AY$57,0),(Ansparphase!$AY$57+Ansparphase!$AZ$57)*Eingaben!$C$32/10000*12*(1+Eingaben!$C$33)^16*F24*IF((Ansparphase!$AY$57+Ansparphase!$AZ$57)=0,0,Ansparphase!$AY$57/(Ansparphase!$AY$57+Ansparphase!$AZ$57)))</f>
        <v/>
      </c>
      <c r="L24" s="40">
        <f>IF(Eingaben!$C$31=1,IF(0=1,Ansparphase!$AZ$57,0),(Ansparphase!$AY$57+Ansparphase!$AZ$57)*Eingaben!$C$32/10000*12*(1+Eingaben!$C$33)^16*F24*IF((Ansparphase!$AY$57+Ansparphase!$AZ$57)=0,0,Ansparphase!$AZ$57/(Ansparphase!$AY$57+Ansparphase!$AZ$57)))</f>
        <v/>
      </c>
      <c r="M24" s="40">
        <f>K24+L24</f>
        <v/>
      </c>
      <c r="N24" s="40">
        <f>K24+L24*IF(Eingaben!$C$31=1,(1-IF(Ansparphase!$AZ$57=0,1,MIN(1,$CG$8/Ansparphase!$AZ$57)))*Parameter!$C$52,Parameter!$C$51)</f>
        <v/>
      </c>
      <c r="O24" s="40">
        <f>IF(Eingaben!$C$31=1,IF(16&lt;10,(Ansparphase!$AY$57+Ansparphase!$AZ$57)/120,0),M24/12)</f>
        <v/>
      </c>
      <c r="P24" s="40">
        <f>Eingaben!$C$44/12*(1+Eingaben!$C$13)^C24</f>
        <v/>
      </c>
      <c r="Q24" s="40">
        <f>MAX(0,MIN(O24,Parameter!$C$5/12*E24-P24))</f>
        <v/>
      </c>
      <c r="R24" s="40">
        <f>IF(Eingaben!$C$42=2,0,MAX(0,Q24-Parameter!$C$7*E24)*Parameter!$C$54*12)</f>
        <v/>
      </c>
      <c r="S24" s="40">
        <f>IF(Eingaben!$C$42=2,0,IF(O24&gt;Parameter!$C$7*E24,Q24*Parameter!$C$59*12,0))</f>
        <v/>
      </c>
      <c r="T24" s="40">
        <f>R24+S24</f>
        <v/>
      </c>
      <c r="U24" s="40">
        <f>Ansparphase!$BL$57*Parameter!$C$9*12*(1+Eingaben!$C$13)^(Eingaben!$C$6-Eingaben!$C$5)*(1+Eingaben!$C$13)^16*F24</f>
        <v/>
      </c>
      <c r="V24" s="40">
        <f>U24*Parameter!$C$66</f>
        <v/>
      </c>
      <c r="W24" s="40">
        <f>IF(Eingaben!$C$42=2,0,U24*(Parameter!$C$53+Parameter!$C$59))</f>
        <v/>
      </c>
      <c r="X24" s="40">
        <f>MAX(0,G24-V24+N24-T24+W24)</f>
        <v/>
      </c>
      <c r="Y24" s="40">
        <f>MAX(0,(X24+IF(Eingaben!$C$14=3,Eingaben!$C$15,0))/Parameter!$C$57/D24)</f>
        <v/>
      </c>
      <c r="Z24" s="40">
        <f>Parameter!$C$57*D24*(IF(Y24&lt;=Parameter!$C$18,0,IF(Y24&lt;=Parameter!$C$19,(Parameter!$C$22*(Y24-Parameter!$C$18)/10000+Parameter!$C$23)*(Y24-Parameter!$C$18)/10000,IF(Y24&lt;=Parameter!$C$20,(Parameter!$C$24*(Y24-Parameter!$C$19)/10000+Parameter!$C$25)*(Y24-Parameter!$C$19)/10000+Parameter!$C$26,IF(Y24&lt;=Parameter!$C$21,0.42*Y24-Parameter!$C$27,0.45*Y24-Parameter!$C$28)))))</f>
        <v/>
      </c>
      <c r="AA24" s="40">
        <f>Z24+IF(Z24&lt;=(Parameter!$C$30*Parameter!$C$57*D24),0,MIN(Parameter!$C$29*Z24,Parameter!$C$31*(Z24-(Parameter!$C$30*Parameter!$C$57*D24))))+Eingaben!$C$16*Z24</f>
        <v/>
      </c>
      <c r="AB24" s="40">
        <f>MAX(0,G24-V24+N24/5-T24+W24)</f>
        <v/>
      </c>
      <c r="AC24" s="40">
        <f>MAX(0,(AB24+IF(Eingaben!$C$14=3,Eingaben!$C$15,0))/Parameter!$C$57/D24)</f>
        <v/>
      </c>
      <c r="AD24" s="40">
        <f>Parameter!$C$57*D24*(IF(AC24&lt;=Parameter!$C$18,0,IF(AC24&lt;=Parameter!$C$19,(Parameter!$C$22*(AC24-Parameter!$C$18)/10000+Parameter!$C$23)*(AC24-Parameter!$C$18)/10000,IF(AC24&lt;=Parameter!$C$20,(Parameter!$C$24*(AC24-Parameter!$C$19)/10000+Parameter!$C$25)*(AC24-Parameter!$C$19)/10000+Parameter!$C$26,IF(AC24&lt;=Parameter!$C$21,0.42*AC24-Parameter!$C$27,0.45*AC24-Parameter!$C$28)))))</f>
        <v/>
      </c>
      <c r="AE24" s="40">
        <f>AD24+IF(AD24&lt;=(Parameter!$C$30*Parameter!$C$57*D24),0,MIN(Parameter!$C$29*AD24,Parameter!$C$31*(AD24-(Parameter!$C$30*Parameter!$C$57*D24))))+Eingaben!$C$16*AD24</f>
        <v/>
      </c>
      <c r="AF24" s="40">
        <f>IF(AND(Eingaben!$C$34=1,Eingaben!$C$31=1,M24&gt;0),MIN(AA24-J24,5*(AE24-J24)),AA24-J24)</f>
        <v/>
      </c>
      <c r="AG24" s="40">
        <f>M24-T24-AF24-U24+W24</f>
        <v/>
      </c>
      <c r="AH24" s="40">
        <f>IF(Eingaben!$C$46=2,0,MAX(0,(AH23-AI23)*(1+Parameter!$C$61)))</f>
        <v/>
      </c>
      <c r="AI24" s="40">
        <f>IF(Eingaben!$C$46=1,IF(F24=0,0,MIN(AH24,Ansparphase!$BA$57*IF(16=0,Eingaben!$C$45,0)+(Ansparphase!$BA$57*(1-Eingaben!$C$45))*$CG$4)),Ansparphase!$BA$57*IF(16=0,Eingaben!$C$45,0)+(((Ansparphase!$BA$57*(1-Eingaben!$C$45))+(Ansparphase!$BB$57*(1-Eingaben!$C$45)))*Eingaben!$C$47/10000*12*(1+Eingaben!$C$48)^16*F24)*IF(((Ansparphase!$BA$57*(1-Eingaben!$C$45))+(Ansparphase!$BB$57*(1-Eingaben!$C$45)))=0,0,(Ansparphase!$BA$57*(1-Eingaben!$C$45))/((Ansparphase!$BA$57*(1-Eingaben!$C$45))+(Ansparphase!$BB$57*(1-Eingaben!$C$45)))))</f>
        <v/>
      </c>
      <c r="AJ24" s="40">
        <f>IF(Eingaben!$C$46=2,0,MAX(0,(AJ23-AK23)*(1+Parameter!$C$61)))</f>
        <v/>
      </c>
      <c r="AK24" s="40">
        <f>AO24+AP24</f>
        <v/>
      </c>
      <c r="AL24" s="40">
        <f>MAX(0,(AL23-AM23)*(1+Parameter!$C$62))</f>
        <v/>
      </c>
      <c r="AM24" s="40">
        <f>IF(F24=0,0,MIN(AL24,Ansparphase!$BC$57*$CG$5))</f>
        <v/>
      </c>
      <c r="AN24" s="40">
        <f>MAX(0,AM24*(1-IF(Ansparphase!$BC$57=0,1,MIN(1,Ansparphase!$BD$57/Ansparphase!$BC$57)))*(1-Parameter!$C$37))*Parameter!$C$36</f>
        <v/>
      </c>
      <c r="AO24" s="40">
        <f>IF(Eingaben!$C$46=1,IF(F24=0,0,MIN(AJ24,Ansparphase!$BB$57*IF(16=0,Eingaben!$C$45,0)+(Ansparphase!$BB$57*(1-Eingaben!$C$45))*$CG$4)),Ansparphase!$BB$57*IF(16=0,Eingaben!$C$45,0))</f>
        <v/>
      </c>
      <c r="AP24" s="40">
        <f>IF(Eingaben!$C$46=1,0,(((Ansparphase!$BA$57*(1-Eingaben!$C$45))+(Ansparphase!$BB$57*(1-Eingaben!$C$45)))*Eingaben!$C$47/10000*12*(1+Eingaben!$C$48)^16*F24)*IF(((Ansparphase!$BA$57*(1-Eingaben!$C$45))+(Ansparphase!$BB$57*(1-Eingaben!$C$45)))=0,0,(Ansparphase!$BB$57*(1-Eingaben!$C$45))/((Ansparphase!$BA$57*(1-Eingaben!$C$45))+(Ansparphase!$BB$57*(1-Eingaben!$C$45)))))</f>
        <v/>
      </c>
      <c r="AQ24" s="40">
        <f>IF(AND(Eingaben!$C$46=2,F24=0),((Ansparphase!$BA$57*(1-Eingaben!$C$45))+(Ansparphase!$BB$57*(1-Eingaben!$C$45)))*Eingaben!$C$47/10000*12*(1+Eingaben!$C$48)^16,0)</f>
        <v/>
      </c>
      <c r="AR24" s="40">
        <f>AI24+AO24*(1-IF(Ansparphase!$BB$57=0,1,MIN(1,$CG$7/Ansparphase!$BB$57)))*Parameter!$C$52+AP24*Parameter!$C$51</f>
        <v/>
      </c>
      <c r="AS24" s="40">
        <f>MAX(0,G24+AR24)</f>
        <v/>
      </c>
      <c r="AT24" s="40">
        <f>MAX(0,(AS24+IF(Eingaben!$C$14=3,Eingaben!$C$15,0))/Parameter!$C$57/D24)</f>
        <v/>
      </c>
      <c r="AU24" s="40">
        <f>Parameter!$C$57*D24*(IF(AT24&lt;=Parameter!$C$18,0,IF(AT24&lt;=Parameter!$C$19,(Parameter!$C$22*(AT24-Parameter!$C$18)/10000+Parameter!$C$23)*(AT24-Parameter!$C$18)/10000,IF(AT24&lt;=Parameter!$C$20,(Parameter!$C$24*(AT24-Parameter!$C$19)/10000+Parameter!$C$25)*(AT24-Parameter!$C$19)/10000+Parameter!$C$26,IF(AT24&lt;=Parameter!$C$21,0.42*AT24-Parameter!$C$27,0.45*AT24-Parameter!$C$28)))))</f>
        <v/>
      </c>
      <c r="AV24" s="40">
        <f>AU24+IF(AU24&lt;=(Parameter!$C$30*Parameter!$C$57*D24),0,MIN(Parameter!$C$29*AU24,Parameter!$C$31*(AU24-(Parameter!$C$30*Parameter!$C$57*D24))))+Eingaben!$C$16*AU24</f>
        <v/>
      </c>
      <c r="AW24" s="40">
        <f>AI24+AK24-(AV24-J24)+AM24-AN24</f>
        <v/>
      </c>
      <c r="AX24" s="40">
        <f>MAX(0,(AX23-AZ23)*(1+Parameter!$C$62))</f>
        <v/>
      </c>
      <c r="AY24" s="40">
        <f>MAX(0,AY23-AY23*IF(AX23=0,0,AZ23/AX23))</f>
        <v/>
      </c>
      <c r="AZ24" s="40">
        <f>IF(F24=0,0,MIN(AX24,Ansparphase!$BG$57*$CG$5))</f>
        <v/>
      </c>
      <c r="BA24" s="40">
        <f>AZ24-IF(AX24=0,0,AY24*AZ24/AX24)</f>
        <v/>
      </c>
      <c r="BB24" s="40">
        <f>MAX(0,BA24*(1-Parameter!$C$37)-Parameter!$C$67)*Parameter!$C$36</f>
        <v/>
      </c>
      <c r="BC24" s="40">
        <f>AZ24-BB24</f>
        <v/>
      </c>
      <c r="BD24" s="38">
        <f>1/(1+Eingaben!$C$40)^C24</f>
        <v/>
      </c>
      <c r="BE24" s="40">
        <f>IF(AND(Eingaben!$C$31=2,F24=0),(Ansparphase!$AY$57+Ansparphase!$AZ$57)*Eingaben!$C$32/10000*12*(1+Eingaben!$C$33)^16,0)</f>
        <v/>
      </c>
      <c r="BF24" s="38">
        <f>1/(1+Parameter!$C$68)^16</f>
        <v/>
      </c>
    </row>
    <row r="25">
      <c r="A25" s="32">
        <f>2026+C25</f>
        <v/>
      </c>
      <c r="B25" s="32">
        <f>Eingaben!$C$6+17</f>
        <v/>
      </c>
      <c r="C25" s="32">
        <f>B25-Eingaben!$C$5</f>
        <v/>
      </c>
      <c r="D25" s="41">
        <f>(1+Eingaben!$C$17)^C25</f>
        <v/>
      </c>
      <c r="E25" s="41">
        <f>(1+Eingaben!$C$13)^C25</f>
        <v/>
      </c>
      <c r="F25" s="32">
        <f>IF(B25&lt;=Eingaben!$C$7,1,0)</f>
        <v/>
      </c>
      <c r="G25" s="43">
        <f>Eingaben!$C$43*(1+Eingaben!$C$40)^C25</f>
        <v/>
      </c>
      <c r="H25" s="43">
        <f>MAX(0,(G25+IF(Eingaben!$C$14=3,Eingaben!$C$15,0))/Parameter!$C$57/D25)</f>
        <v/>
      </c>
      <c r="I25" s="43">
        <f>Parameter!$C$57*D25*(IF(H25&lt;=Parameter!$C$18,0,IF(H25&lt;=Parameter!$C$19,(Parameter!$C$22*(H25-Parameter!$C$18)/10000+Parameter!$C$23)*(H25-Parameter!$C$18)/10000,IF(H25&lt;=Parameter!$C$20,(Parameter!$C$24*(H25-Parameter!$C$19)/10000+Parameter!$C$25)*(H25-Parameter!$C$19)/10000+Parameter!$C$26,IF(H25&lt;=Parameter!$C$21,0.42*H25-Parameter!$C$27,0.45*H25-Parameter!$C$28)))))</f>
        <v/>
      </c>
      <c r="J25" s="43">
        <f>I25+IF(I25&lt;=(Parameter!$C$30*Parameter!$C$57*D25),0,MIN(Parameter!$C$29*I25,Parameter!$C$31*(I25-(Parameter!$C$30*Parameter!$C$57*D25))))+Eingaben!$C$16*I25</f>
        <v/>
      </c>
      <c r="K25" s="43">
        <f>IF(Eingaben!$C$31=1,IF(0=1,Ansparphase!$AY$57,0),(Ansparphase!$AY$57+Ansparphase!$AZ$57)*Eingaben!$C$32/10000*12*(1+Eingaben!$C$33)^17*F25*IF((Ansparphase!$AY$57+Ansparphase!$AZ$57)=0,0,Ansparphase!$AY$57/(Ansparphase!$AY$57+Ansparphase!$AZ$57)))</f>
        <v/>
      </c>
      <c r="L25" s="43">
        <f>IF(Eingaben!$C$31=1,IF(0=1,Ansparphase!$AZ$57,0),(Ansparphase!$AY$57+Ansparphase!$AZ$57)*Eingaben!$C$32/10000*12*(1+Eingaben!$C$33)^17*F25*IF((Ansparphase!$AY$57+Ansparphase!$AZ$57)=0,0,Ansparphase!$AZ$57/(Ansparphase!$AY$57+Ansparphase!$AZ$57)))</f>
        <v/>
      </c>
      <c r="M25" s="43">
        <f>K25+L25</f>
        <v/>
      </c>
      <c r="N25" s="43">
        <f>K25+L25*IF(Eingaben!$C$31=1,(1-IF(Ansparphase!$AZ$57=0,1,MIN(1,$CG$8/Ansparphase!$AZ$57)))*Parameter!$C$52,Parameter!$C$51)</f>
        <v/>
      </c>
      <c r="O25" s="43">
        <f>IF(Eingaben!$C$31=1,IF(17&lt;10,(Ansparphase!$AY$57+Ansparphase!$AZ$57)/120,0),M25/12)</f>
        <v/>
      </c>
      <c r="P25" s="43">
        <f>Eingaben!$C$44/12*(1+Eingaben!$C$13)^C25</f>
        <v/>
      </c>
      <c r="Q25" s="43">
        <f>MAX(0,MIN(O25,Parameter!$C$5/12*E25-P25))</f>
        <v/>
      </c>
      <c r="R25" s="43">
        <f>IF(Eingaben!$C$42=2,0,MAX(0,Q25-Parameter!$C$7*E25)*Parameter!$C$54*12)</f>
        <v/>
      </c>
      <c r="S25" s="43">
        <f>IF(Eingaben!$C$42=2,0,IF(O25&gt;Parameter!$C$7*E25,Q25*Parameter!$C$59*12,0))</f>
        <v/>
      </c>
      <c r="T25" s="43">
        <f>R25+S25</f>
        <v/>
      </c>
      <c r="U25" s="43">
        <f>Ansparphase!$BL$57*Parameter!$C$9*12*(1+Eingaben!$C$13)^(Eingaben!$C$6-Eingaben!$C$5)*(1+Eingaben!$C$13)^17*F25</f>
        <v/>
      </c>
      <c r="V25" s="43">
        <f>U25*Parameter!$C$66</f>
        <v/>
      </c>
      <c r="W25" s="43">
        <f>IF(Eingaben!$C$42=2,0,U25*(Parameter!$C$53+Parameter!$C$59))</f>
        <v/>
      </c>
      <c r="X25" s="43">
        <f>MAX(0,G25-V25+N25-T25+W25)</f>
        <v/>
      </c>
      <c r="Y25" s="43">
        <f>MAX(0,(X25+IF(Eingaben!$C$14=3,Eingaben!$C$15,0))/Parameter!$C$57/D25)</f>
        <v/>
      </c>
      <c r="Z25" s="43">
        <f>Parameter!$C$57*D25*(IF(Y25&lt;=Parameter!$C$18,0,IF(Y25&lt;=Parameter!$C$19,(Parameter!$C$22*(Y25-Parameter!$C$18)/10000+Parameter!$C$23)*(Y25-Parameter!$C$18)/10000,IF(Y25&lt;=Parameter!$C$20,(Parameter!$C$24*(Y25-Parameter!$C$19)/10000+Parameter!$C$25)*(Y25-Parameter!$C$19)/10000+Parameter!$C$26,IF(Y25&lt;=Parameter!$C$21,0.42*Y25-Parameter!$C$27,0.45*Y25-Parameter!$C$28)))))</f>
        <v/>
      </c>
      <c r="AA25" s="43">
        <f>Z25+IF(Z25&lt;=(Parameter!$C$30*Parameter!$C$57*D25),0,MIN(Parameter!$C$29*Z25,Parameter!$C$31*(Z25-(Parameter!$C$30*Parameter!$C$57*D25))))+Eingaben!$C$16*Z25</f>
        <v/>
      </c>
      <c r="AB25" s="43">
        <f>MAX(0,G25-V25+N25/5-T25+W25)</f>
        <v/>
      </c>
      <c r="AC25" s="43">
        <f>MAX(0,(AB25+IF(Eingaben!$C$14=3,Eingaben!$C$15,0))/Parameter!$C$57/D25)</f>
        <v/>
      </c>
      <c r="AD25" s="43">
        <f>Parameter!$C$57*D25*(IF(AC25&lt;=Parameter!$C$18,0,IF(AC25&lt;=Parameter!$C$19,(Parameter!$C$22*(AC25-Parameter!$C$18)/10000+Parameter!$C$23)*(AC25-Parameter!$C$18)/10000,IF(AC25&lt;=Parameter!$C$20,(Parameter!$C$24*(AC25-Parameter!$C$19)/10000+Parameter!$C$25)*(AC25-Parameter!$C$19)/10000+Parameter!$C$26,IF(AC25&lt;=Parameter!$C$21,0.42*AC25-Parameter!$C$27,0.45*AC25-Parameter!$C$28)))))</f>
        <v/>
      </c>
      <c r="AE25" s="43">
        <f>AD25+IF(AD25&lt;=(Parameter!$C$30*Parameter!$C$57*D25),0,MIN(Parameter!$C$29*AD25,Parameter!$C$31*(AD25-(Parameter!$C$30*Parameter!$C$57*D25))))+Eingaben!$C$16*AD25</f>
        <v/>
      </c>
      <c r="AF25" s="43">
        <f>IF(AND(Eingaben!$C$34=1,Eingaben!$C$31=1,M25&gt;0),MIN(AA25-J25,5*(AE25-J25)),AA25-J25)</f>
        <v/>
      </c>
      <c r="AG25" s="43">
        <f>M25-T25-AF25-U25+W25</f>
        <v/>
      </c>
      <c r="AH25" s="43">
        <f>IF(Eingaben!$C$46=2,0,MAX(0,(AH24-AI24)*(1+Parameter!$C$61)))</f>
        <v/>
      </c>
      <c r="AI25" s="43">
        <f>IF(Eingaben!$C$46=1,IF(F25=0,0,MIN(AH25,Ansparphase!$BA$57*IF(17=0,Eingaben!$C$45,0)+(Ansparphase!$BA$57*(1-Eingaben!$C$45))*$CG$4)),Ansparphase!$BA$57*IF(17=0,Eingaben!$C$45,0)+(((Ansparphase!$BA$57*(1-Eingaben!$C$45))+(Ansparphase!$BB$57*(1-Eingaben!$C$45)))*Eingaben!$C$47/10000*12*(1+Eingaben!$C$48)^17*F25)*IF(((Ansparphase!$BA$57*(1-Eingaben!$C$45))+(Ansparphase!$BB$57*(1-Eingaben!$C$45)))=0,0,(Ansparphase!$BA$57*(1-Eingaben!$C$45))/((Ansparphase!$BA$57*(1-Eingaben!$C$45))+(Ansparphase!$BB$57*(1-Eingaben!$C$45)))))</f>
        <v/>
      </c>
      <c r="AJ25" s="43">
        <f>IF(Eingaben!$C$46=2,0,MAX(0,(AJ24-AK24)*(1+Parameter!$C$61)))</f>
        <v/>
      </c>
      <c r="AK25" s="43">
        <f>AO25+AP25</f>
        <v/>
      </c>
      <c r="AL25" s="43">
        <f>MAX(0,(AL24-AM24)*(1+Parameter!$C$62))</f>
        <v/>
      </c>
      <c r="AM25" s="43">
        <f>IF(F25=0,0,MIN(AL25,Ansparphase!$BC$57*$CG$5))</f>
        <v/>
      </c>
      <c r="AN25" s="43">
        <f>MAX(0,AM25*(1-IF(Ansparphase!$BC$57=0,1,MIN(1,Ansparphase!$BD$57/Ansparphase!$BC$57)))*(1-Parameter!$C$37))*Parameter!$C$36</f>
        <v/>
      </c>
      <c r="AO25" s="43">
        <f>IF(Eingaben!$C$46=1,IF(F25=0,0,MIN(AJ25,Ansparphase!$BB$57*IF(17=0,Eingaben!$C$45,0)+(Ansparphase!$BB$57*(1-Eingaben!$C$45))*$CG$4)),Ansparphase!$BB$57*IF(17=0,Eingaben!$C$45,0))</f>
        <v/>
      </c>
      <c r="AP25" s="43">
        <f>IF(Eingaben!$C$46=1,0,(((Ansparphase!$BA$57*(1-Eingaben!$C$45))+(Ansparphase!$BB$57*(1-Eingaben!$C$45)))*Eingaben!$C$47/10000*12*(1+Eingaben!$C$48)^17*F25)*IF(((Ansparphase!$BA$57*(1-Eingaben!$C$45))+(Ansparphase!$BB$57*(1-Eingaben!$C$45)))=0,0,(Ansparphase!$BB$57*(1-Eingaben!$C$45))/((Ansparphase!$BA$57*(1-Eingaben!$C$45))+(Ansparphase!$BB$57*(1-Eingaben!$C$45)))))</f>
        <v/>
      </c>
      <c r="AQ25" s="43">
        <f>IF(AND(Eingaben!$C$46=2,F25=0),((Ansparphase!$BA$57*(1-Eingaben!$C$45))+(Ansparphase!$BB$57*(1-Eingaben!$C$45)))*Eingaben!$C$47/10000*12*(1+Eingaben!$C$48)^17,0)</f>
        <v/>
      </c>
      <c r="AR25" s="43">
        <f>AI25+AO25*(1-IF(Ansparphase!$BB$57=0,1,MIN(1,$CG$7/Ansparphase!$BB$57)))*Parameter!$C$52+AP25*Parameter!$C$51</f>
        <v/>
      </c>
      <c r="AS25" s="43">
        <f>MAX(0,G25+AR25)</f>
        <v/>
      </c>
      <c r="AT25" s="43">
        <f>MAX(0,(AS25+IF(Eingaben!$C$14=3,Eingaben!$C$15,0))/Parameter!$C$57/D25)</f>
        <v/>
      </c>
      <c r="AU25" s="43">
        <f>Parameter!$C$57*D25*(IF(AT25&lt;=Parameter!$C$18,0,IF(AT25&lt;=Parameter!$C$19,(Parameter!$C$22*(AT25-Parameter!$C$18)/10000+Parameter!$C$23)*(AT25-Parameter!$C$18)/10000,IF(AT25&lt;=Parameter!$C$20,(Parameter!$C$24*(AT25-Parameter!$C$19)/10000+Parameter!$C$25)*(AT25-Parameter!$C$19)/10000+Parameter!$C$26,IF(AT25&lt;=Parameter!$C$21,0.42*AT25-Parameter!$C$27,0.45*AT25-Parameter!$C$28)))))</f>
        <v/>
      </c>
      <c r="AV25" s="43">
        <f>AU25+IF(AU25&lt;=(Parameter!$C$30*Parameter!$C$57*D25),0,MIN(Parameter!$C$29*AU25,Parameter!$C$31*(AU25-(Parameter!$C$30*Parameter!$C$57*D25))))+Eingaben!$C$16*AU25</f>
        <v/>
      </c>
      <c r="AW25" s="43">
        <f>AI25+AK25-(AV25-J25)+AM25-AN25</f>
        <v/>
      </c>
      <c r="AX25" s="43">
        <f>MAX(0,(AX24-AZ24)*(1+Parameter!$C$62))</f>
        <v/>
      </c>
      <c r="AY25" s="43">
        <f>MAX(0,AY24-AY24*IF(AX24=0,0,AZ24/AX24))</f>
        <v/>
      </c>
      <c r="AZ25" s="43">
        <f>IF(F25=0,0,MIN(AX25,Ansparphase!$BG$57*$CG$5))</f>
        <v/>
      </c>
      <c r="BA25" s="43">
        <f>AZ25-IF(AX25=0,0,AY25*AZ25/AX25)</f>
        <v/>
      </c>
      <c r="BB25" s="43">
        <f>MAX(0,BA25*(1-Parameter!$C$37)-Parameter!$C$67)*Parameter!$C$36</f>
        <v/>
      </c>
      <c r="BC25" s="43">
        <f>AZ25-BB25</f>
        <v/>
      </c>
      <c r="BD25" s="41">
        <f>1/(1+Eingaben!$C$40)^C25</f>
        <v/>
      </c>
      <c r="BE25" s="43">
        <f>IF(AND(Eingaben!$C$31=2,F25=0),(Ansparphase!$AY$57+Ansparphase!$AZ$57)*Eingaben!$C$32/10000*12*(1+Eingaben!$C$33)^17,0)</f>
        <v/>
      </c>
      <c r="BF25" s="41">
        <f>1/(1+Parameter!$C$68)^17</f>
        <v/>
      </c>
    </row>
    <row r="26">
      <c r="A26" s="30">
        <f>2026+C26</f>
        <v/>
      </c>
      <c r="B26" s="30">
        <f>Eingaben!$C$6+18</f>
        <v/>
      </c>
      <c r="C26" s="30">
        <f>B26-Eingaben!$C$5</f>
        <v/>
      </c>
      <c r="D26" s="38">
        <f>(1+Eingaben!$C$17)^C26</f>
        <v/>
      </c>
      <c r="E26" s="38">
        <f>(1+Eingaben!$C$13)^C26</f>
        <v/>
      </c>
      <c r="F26" s="30">
        <f>IF(B26&lt;=Eingaben!$C$7,1,0)</f>
        <v/>
      </c>
      <c r="G26" s="40">
        <f>Eingaben!$C$43*(1+Eingaben!$C$40)^C26</f>
        <v/>
      </c>
      <c r="H26" s="40">
        <f>MAX(0,(G26+IF(Eingaben!$C$14=3,Eingaben!$C$15,0))/Parameter!$C$57/D26)</f>
        <v/>
      </c>
      <c r="I26" s="40">
        <f>Parameter!$C$57*D26*(IF(H26&lt;=Parameter!$C$18,0,IF(H26&lt;=Parameter!$C$19,(Parameter!$C$22*(H26-Parameter!$C$18)/10000+Parameter!$C$23)*(H26-Parameter!$C$18)/10000,IF(H26&lt;=Parameter!$C$20,(Parameter!$C$24*(H26-Parameter!$C$19)/10000+Parameter!$C$25)*(H26-Parameter!$C$19)/10000+Parameter!$C$26,IF(H26&lt;=Parameter!$C$21,0.42*H26-Parameter!$C$27,0.45*H26-Parameter!$C$28)))))</f>
        <v/>
      </c>
      <c r="J26" s="40">
        <f>I26+IF(I26&lt;=(Parameter!$C$30*Parameter!$C$57*D26),0,MIN(Parameter!$C$29*I26,Parameter!$C$31*(I26-(Parameter!$C$30*Parameter!$C$57*D26))))+Eingaben!$C$16*I26</f>
        <v/>
      </c>
      <c r="K26" s="40">
        <f>IF(Eingaben!$C$31=1,IF(0=1,Ansparphase!$AY$57,0),(Ansparphase!$AY$57+Ansparphase!$AZ$57)*Eingaben!$C$32/10000*12*(1+Eingaben!$C$33)^18*F26*IF((Ansparphase!$AY$57+Ansparphase!$AZ$57)=0,0,Ansparphase!$AY$57/(Ansparphase!$AY$57+Ansparphase!$AZ$57)))</f>
        <v/>
      </c>
      <c r="L26" s="40">
        <f>IF(Eingaben!$C$31=1,IF(0=1,Ansparphase!$AZ$57,0),(Ansparphase!$AY$57+Ansparphase!$AZ$57)*Eingaben!$C$32/10000*12*(1+Eingaben!$C$33)^18*F26*IF((Ansparphase!$AY$57+Ansparphase!$AZ$57)=0,0,Ansparphase!$AZ$57/(Ansparphase!$AY$57+Ansparphase!$AZ$57)))</f>
        <v/>
      </c>
      <c r="M26" s="40">
        <f>K26+L26</f>
        <v/>
      </c>
      <c r="N26" s="40">
        <f>K26+L26*IF(Eingaben!$C$31=1,(1-IF(Ansparphase!$AZ$57=0,1,MIN(1,$CG$8/Ansparphase!$AZ$57)))*Parameter!$C$52,Parameter!$C$51)</f>
        <v/>
      </c>
      <c r="O26" s="40">
        <f>IF(Eingaben!$C$31=1,IF(18&lt;10,(Ansparphase!$AY$57+Ansparphase!$AZ$57)/120,0),M26/12)</f>
        <v/>
      </c>
      <c r="P26" s="40">
        <f>Eingaben!$C$44/12*(1+Eingaben!$C$13)^C26</f>
        <v/>
      </c>
      <c r="Q26" s="40">
        <f>MAX(0,MIN(O26,Parameter!$C$5/12*E26-P26))</f>
        <v/>
      </c>
      <c r="R26" s="40">
        <f>IF(Eingaben!$C$42=2,0,MAX(0,Q26-Parameter!$C$7*E26)*Parameter!$C$54*12)</f>
        <v/>
      </c>
      <c r="S26" s="40">
        <f>IF(Eingaben!$C$42=2,0,IF(O26&gt;Parameter!$C$7*E26,Q26*Parameter!$C$59*12,0))</f>
        <v/>
      </c>
      <c r="T26" s="40">
        <f>R26+S26</f>
        <v/>
      </c>
      <c r="U26" s="40">
        <f>Ansparphase!$BL$57*Parameter!$C$9*12*(1+Eingaben!$C$13)^(Eingaben!$C$6-Eingaben!$C$5)*(1+Eingaben!$C$13)^18*F26</f>
        <v/>
      </c>
      <c r="V26" s="40">
        <f>U26*Parameter!$C$66</f>
        <v/>
      </c>
      <c r="W26" s="40">
        <f>IF(Eingaben!$C$42=2,0,U26*(Parameter!$C$53+Parameter!$C$59))</f>
        <v/>
      </c>
      <c r="X26" s="40">
        <f>MAX(0,G26-V26+N26-T26+W26)</f>
        <v/>
      </c>
      <c r="Y26" s="40">
        <f>MAX(0,(X26+IF(Eingaben!$C$14=3,Eingaben!$C$15,0))/Parameter!$C$57/D26)</f>
        <v/>
      </c>
      <c r="Z26" s="40">
        <f>Parameter!$C$57*D26*(IF(Y26&lt;=Parameter!$C$18,0,IF(Y26&lt;=Parameter!$C$19,(Parameter!$C$22*(Y26-Parameter!$C$18)/10000+Parameter!$C$23)*(Y26-Parameter!$C$18)/10000,IF(Y26&lt;=Parameter!$C$20,(Parameter!$C$24*(Y26-Parameter!$C$19)/10000+Parameter!$C$25)*(Y26-Parameter!$C$19)/10000+Parameter!$C$26,IF(Y26&lt;=Parameter!$C$21,0.42*Y26-Parameter!$C$27,0.45*Y26-Parameter!$C$28)))))</f>
        <v/>
      </c>
      <c r="AA26" s="40">
        <f>Z26+IF(Z26&lt;=(Parameter!$C$30*Parameter!$C$57*D26),0,MIN(Parameter!$C$29*Z26,Parameter!$C$31*(Z26-(Parameter!$C$30*Parameter!$C$57*D26))))+Eingaben!$C$16*Z26</f>
        <v/>
      </c>
      <c r="AB26" s="40">
        <f>MAX(0,G26-V26+N26/5-T26+W26)</f>
        <v/>
      </c>
      <c r="AC26" s="40">
        <f>MAX(0,(AB26+IF(Eingaben!$C$14=3,Eingaben!$C$15,0))/Parameter!$C$57/D26)</f>
        <v/>
      </c>
      <c r="AD26" s="40">
        <f>Parameter!$C$57*D26*(IF(AC26&lt;=Parameter!$C$18,0,IF(AC26&lt;=Parameter!$C$19,(Parameter!$C$22*(AC26-Parameter!$C$18)/10000+Parameter!$C$23)*(AC26-Parameter!$C$18)/10000,IF(AC26&lt;=Parameter!$C$20,(Parameter!$C$24*(AC26-Parameter!$C$19)/10000+Parameter!$C$25)*(AC26-Parameter!$C$19)/10000+Parameter!$C$26,IF(AC26&lt;=Parameter!$C$21,0.42*AC26-Parameter!$C$27,0.45*AC26-Parameter!$C$28)))))</f>
        <v/>
      </c>
      <c r="AE26" s="40">
        <f>AD26+IF(AD26&lt;=(Parameter!$C$30*Parameter!$C$57*D26),0,MIN(Parameter!$C$29*AD26,Parameter!$C$31*(AD26-(Parameter!$C$30*Parameter!$C$57*D26))))+Eingaben!$C$16*AD26</f>
        <v/>
      </c>
      <c r="AF26" s="40">
        <f>IF(AND(Eingaben!$C$34=1,Eingaben!$C$31=1,M26&gt;0),MIN(AA26-J26,5*(AE26-J26)),AA26-J26)</f>
        <v/>
      </c>
      <c r="AG26" s="40">
        <f>M26-T26-AF26-U26+W26</f>
        <v/>
      </c>
      <c r="AH26" s="40">
        <f>IF(Eingaben!$C$46=2,0,MAX(0,(AH25-AI25)*(1+Parameter!$C$61)))</f>
        <v/>
      </c>
      <c r="AI26" s="40">
        <f>IF(Eingaben!$C$46=1,IF(F26=0,0,MIN(AH26,Ansparphase!$BA$57*IF(18=0,Eingaben!$C$45,0)+(Ansparphase!$BA$57*(1-Eingaben!$C$45))*$CG$4)),Ansparphase!$BA$57*IF(18=0,Eingaben!$C$45,0)+(((Ansparphase!$BA$57*(1-Eingaben!$C$45))+(Ansparphase!$BB$57*(1-Eingaben!$C$45)))*Eingaben!$C$47/10000*12*(1+Eingaben!$C$48)^18*F26)*IF(((Ansparphase!$BA$57*(1-Eingaben!$C$45))+(Ansparphase!$BB$57*(1-Eingaben!$C$45)))=0,0,(Ansparphase!$BA$57*(1-Eingaben!$C$45))/((Ansparphase!$BA$57*(1-Eingaben!$C$45))+(Ansparphase!$BB$57*(1-Eingaben!$C$45)))))</f>
        <v/>
      </c>
      <c r="AJ26" s="40">
        <f>IF(Eingaben!$C$46=2,0,MAX(0,(AJ25-AK25)*(1+Parameter!$C$61)))</f>
        <v/>
      </c>
      <c r="AK26" s="40">
        <f>AO26+AP26</f>
        <v/>
      </c>
      <c r="AL26" s="40">
        <f>MAX(0,(AL25-AM25)*(1+Parameter!$C$62))</f>
        <v/>
      </c>
      <c r="AM26" s="40">
        <f>IF(F26=0,0,MIN(AL26,Ansparphase!$BC$57*$CG$5))</f>
        <v/>
      </c>
      <c r="AN26" s="40">
        <f>MAX(0,AM26*(1-IF(Ansparphase!$BC$57=0,1,MIN(1,Ansparphase!$BD$57/Ansparphase!$BC$57)))*(1-Parameter!$C$37))*Parameter!$C$36</f>
        <v/>
      </c>
      <c r="AO26" s="40">
        <f>IF(Eingaben!$C$46=1,IF(F26=0,0,MIN(AJ26,Ansparphase!$BB$57*IF(18=0,Eingaben!$C$45,0)+(Ansparphase!$BB$57*(1-Eingaben!$C$45))*$CG$4)),Ansparphase!$BB$57*IF(18=0,Eingaben!$C$45,0))</f>
        <v/>
      </c>
      <c r="AP26" s="40">
        <f>IF(Eingaben!$C$46=1,0,(((Ansparphase!$BA$57*(1-Eingaben!$C$45))+(Ansparphase!$BB$57*(1-Eingaben!$C$45)))*Eingaben!$C$47/10000*12*(1+Eingaben!$C$48)^18*F26)*IF(((Ansparphase!$BA$57*(1-Eingaben!$C$45))+(Ansparphase!$BB$57*(1-Eingaben!$C$45)))=0,0,(Ansparphase!$BB$57*(1-Eingaben!$C$45))/((Ansparphase!$BA$57*(1-Eingaben!$C$45))+(Ansparphase!$BB$57*(1-Eingaben!$C$45)))))</f>
        <v/>
      </c>
      <c r="AQ26" s="40">
        <f>IF(AND(Eingaben!$C$46=2,F26=0),((Ansparphase!$BA$57*(1-Eingaben!$C$45))+(Ansparphase!$BB$57*(1-Eingaben!$C$45)))*Eingaben!$C$47/10000*12*(1+Eingaben!$C$48)^18,0)</f>
        <v/>
      </c>
      <c r="AR26" s="40">
        <f>AI26+AO26*(1-IF(Ansparphase!$BB$57=0,1,MIN(1,$CG$7/Ansparphase!$BB$57)))*Parameter!$C$52+AP26*Parameter!$C$51</f>
        <v/>
      </c>
      <c r="AS26" s="40">
        <f>MAX(0,G26+AR26)</f>
        <v/>
      </c>
      <c r="AT26" s="40">
        <f>MAX(0,(AS26+IF(Eingaben!$C$14=3,Eingaben!$C$15,0))/Parameter!$C$57/D26)</f>
        <v/>
      </c>
      <c r="AU26" s="40">
        <f>Parameter!$C$57*D26*(IF(AT26&lt;=Parameter!$C$18,0,IF(AT26&lt;=Parameter!$C$19,(Parameter!$C$22*(AT26-Parameter!$C$18)/10000+Parameter!$C$23)*(AT26-Parameter!$C$18)/10000,IF(AT26&lt;=Parameter!$C$20,(Parameter!$C$24*(AT26-Parameter!$C$19)/10000+Parameter!$C$25)*(AT26-Parameter!$C$19)/10000+Parameter!$C$26,IF(AT26&lt;=Parameter!$C$21,0.42*AT26-Parameter!$C$27,0.45*AT26-Parameter!$C$28)))))</f>
        <v/>
      </c>
      <c r="AV26" s="40">
        <f>AU26+IF(AU26&lt;=(Parameter!$C$30*Parameter!$C$57*D26),0,MIN(Parameter!$C$29*AU26,Parameter!$C$31*(AU26-(Parameter!$C$30*Parameter!$C$57*D26))))+Eingaben!$C$16*AU26</f>
        <v/>
      </c>
      <c r="AW26" s="40">
        <f>AI26+AK26-(AV26-J26)+AM26-AN26</f>
        <v/>
      </c>
      <c r="AX26" s="40">
        <f>MAX(0,(AX25-AZ25)*(1+Parameter!$C$62))</f>
        <v/>
      </c>
      <c r="AY26" s="40">
        <f>MAX(0,AY25-AY25*IF(AX25=0,0,AZ25/AX25))</f>
        <v/>
      </c>
      <c r="AZ26" s="40">
        <f>IF(F26=0,0,MIN(AX26,Ansparphase!$BG$57*$CG$5))</f>
        <v/>
      </c>
      <c r="BA26" s="40">
        <f>AZ26-IF(AX26=0,0,AY26*AZ26/AX26)</f>
        <v/>
      </c>
      <c r="BB26" s="40">
        <f>MAX(0,BA26*(1-Parameter!$C$37)-Parameter!$C$67)*Parameter!$C$36</f>
        <v/>
      </c>
      <c r="BC26" s="40">
        <f>AZ26-BB26</f>
        <v/>
      </c>
      <c r="BD26" s="38">
        <f>1/(1+Eingaben!$C$40)^C26</f>
        <v/>
      </c>
      <c r="BE26" s="40">
        <f>IF(AND(Eingaben!$C$31=2,F26=0),(Ansparphase!$AY$57+Ansparphase!$AZ$57)*Eingaben!$C$32/10000*12*(1+Eingaben!$C$33)^18,0)</f>
        <v/>
      </c>
      <c r="BF26" s="38">
        <f>1/(1+Parameter!$C$68)^18</f>
        <v/>
      </c>
    </row>
    <row r="27">
      <c r="A27" s="32">
        <f>2026+C27</f>
        <v/>
      </c>
      <c r="B27" s="32">
        <f>Eingaben!$C$6+19</f>
        <v/>
      </c>
      <c r="C27" s="32">
        <f>B27-Eingaben!$C$5</f>
        <v/>
      </c>
      <c r="D27" s="41">
        <f>(1+Eingaben!$C$17)^C27</f>
        <v/>
      </c>
      <c r="E27" s="41">
        <f>(1+Eingaben!$C$13)^C27</f>
        <v/>
      </c>
      <c r="F27" s="32">
        <f>IF(B27&lt;=Eingaben!$C$7,1,0)</f>
        <v/>
      </c>
      <c r="G27" s="43">
        <f>Eingaben!$C$43*(1+Eingaben!$C$40)^C27</f>
        <v/>
      </c>
      <c r="H27" s="43">
        <f>MAX(0,(G27+IF(Eingaben!$C$14=3,Eingaben!$C$15,0))/Parameter!$C$57/D27)</f>
        <v/>
      </c>
      <c r="I27" s="43">
        <f>Parameter!$C$57*D27*(IF(H27&lt;=Parameter!$C$18,0,IF(H27&lt;=Parameter!$C$19,(Parameter!$C$22*(H27-Parameter!$C$18)/10000+Parameter!$C$23)*(H27-Parameter!$C$18)/10000,IF(H27&lt;=Parameter!$C$20,(Parameter!$C$24*(H27-Parameter!$C$19)/10000+Parameter!$C$25)*(H27-Parameter!$C$19)/10000+Parameter!$C$26,IF(H27&lt;=Parameter!$C$21,0.42*H27-Parameter!$C$27,0.45*H27-Parameter!$C$28)))))</f>
        <v/>
      </c>
      <c r="J27" s="43">
        <f>I27+IF(I27&lt;=(Parameter!$C$30*Parameter!$C$57*D27),0,MIN(Parameter!$C$29*I27,Parameter!$C$31*(I27-(Parameter!$C$30*Parameter!$C$57*D27))))+Eingaben!$C$16*I27</f>
        <v/>
      </c>
      <c r="K27" s="43">
        <f>IF(Eingaben!$C$31=1,IF(0=1,Ansparphase!$AY$57,0),(Ansparphase!$AY$57+Ansparphase!$AZ$57)*Eingaben!$C$32/10000*12*(1+Eingaben!$C$33)^19*F27*IF((Ansparphase!$AY$57+Ansparphase!$AZ$57)=0,0,Ansparphase!$AY$57/(Ansparphase!$AY$57+Ansparphase!$AZ$57)))</f>
        <v/>
      </c>
      <c r="L27" s="43">
        <f>IF(Eingaben!$C$31=1,IF(0=1,Ansparphase!$AZ$57,0),(Ansparphase!$AY$57+Ansparphase!$AZ$57)*Eingaben!$C$32/10000*12*(1+Eingaben!$C$33)^19*F27*IF((Ansparphase!$AY$57+Ansparphase!$AZ$57)=0,0,Ansparphase!$AZ$57/(Ansparphase!$AY$57+Ansparphase!$AZ$57)))</f>
        <v/>
      </c>
      <c r="M27" s="43">
        <f>K27+L27</f>
        <v/>
      </c>
      <c r="N27" s="43">
        <f>K27+L27*IF(Eingaben!$C$31=1,(1-IF(Ansparphase!$AZ$57=0,1,MIN(1,$CG$8/Ansparphase!$AZ$57)))*Parameter!$C$52,Parameter!$C$51)</f>
        <v/>
      </c>
      <c r="O27" s="43">
        <f>IF(Eingaben!$C$31=1,IF(19&lt;10,(Ansparphase!$AY$57+Ansparphase!$AZ$57)/120,0),M27/12)</f>
        <v/>
      </c>
      <c r="P27" s="43">
        <f>Eingaben!$C$44/12*(1+Eingaben!$C$13)^C27</f>
        <v/>
      </c>
      <c r="Q27" s="43">
        <f>MAX(0,MIN(O27,Parameter!$C$5/12*E27-P27))</f>
        <v/>
      </c>
      <c r="R27" s="43">
        <f>IF(Eingaben!$C$42=2,0,MAX(0,Q27-Parameter!$C$7*E27)*Parameter!$C$54*12)</f>
        <v/>
      </c>
      <c r="S27" s="43">
        <f>IF(Eingaben!$C$42=2,0,IF(O27&gt;Parameter!$C$7*E27,Q27*Parameter!$C$59*12,0))</f>
        <v/>
      </c>
      <c r="T27" s="43">
        <f>R27+S27</f>
        <v/>
      </c>
      <c r="U27" s="43">
        <f>Ansparphase!$BL$57*Parameter!$C$9*12*(1+Eingaben!$C$13)^(Eingaben!$C$6-Eingaben!$C$5)*(1+Eingaben!$C$13)^19*F27</f>
        <v/>
      </c>
      <c r="V27" s="43">
        <f>U27*Parameter!$C$66</f>
        <v/>
      </c>
      <c r="W27" s="43">
        <f>IF(Eingaben!$C$42=2,0,U27*(Parameter!$C$53+Parameter!$C$59))</f>
        <v/>
      </c>
      <c r="X27" s="43">
        <f>MAX(0,G27-V27+N27-T27+W27)</f>
        <v/>
      </c>
      <c r="Y27" s="43">
        <f>MAX(0,(X27+IF(Eingaben!$C$14=3,Eingaben!$C$15,0))/Parameter!$C$57/D27)</f>
        <v/>
      </c>
      <c r="Z27" s="43">
        <f>Parameter!$C$57*D27*(IF(Y27&lt;=Parameter!$C$18,0,IF(Y27&lt;=Parameter!$C$19,(Parameter!$C$22*(Y27-Parameter!$C$18)/10000+Parameter!$C$23)*(Y27-Parameter!$C$18)/10000,IF(Y27&lt;=Parameter!$C$20,(Parameter!$C$24*(Y27-Parameter!$C$19)/10000+Parameter!$C$25)*(Y27-Parameter!$C$19)/10000+Parameter!$C$26,IF(Y27&lt;=Parameter!$C$21,0.42*Y27-Parameter!$C$27,0.45*Y27-Parameter!$C$28)))))</f>
        <v/>
      </c>
      <c r="AA27" s="43">
        <f>Z27+IF(Z27&lt;=(Parameter!$C$30*Parameter!$C$57*D27),0,MIN(Parameter!$C$29*Z27,Parameter!$C$31*(Z27-(Parameter!$C$30*Parameter!$C$57*D27))))+Eingaben!$C$16*Z27</f>
        <v/>
      </c>
      <c r="AB27" s="43">
        <f>MAX(0,G27-V27+N27/5-T27+W27)</f>
        <v/>
      </c>
      <c r="AC27" s="43">
        <f>MAX(0,(AB27+IF(Eingaben!$C$14=3,Eingaben!$C$15,0))/Parameter!$C$57/D27)</f>
        <v/>
      </c>
      <c r="AD27" s="43">
        <f>Parameter!$C$57*D27*(IF(AC27&lt;=Parameter!$C$18,0,IF(AC27&lt;=Parameter!$C$19,(Parameter!$C$22*(AC27-Parameter!$C$18)/10000+Parameter!$C$23)*(AC27-Parameter!$C$18)/10000,IF(AC27&lt;=Parameter!$C$20,(Parameter!$C$24*(AC27-Parameter!$C$19)/10000+Parameter!$C$25)*(AC27-Parameter!$C$19)/10000+Parameter!$C$26,IF(AC27&lt;=Parameter!$C$21,0.42*AC27-Parameter!$C$27,0.45*AC27-Parameter!$C$28)))))</f>
        <v/>
      </c>
      <c r="AE27" s="43">
        <f>AD27+IF(AD27&lt;=(Parameter!$C$30*Parameter!$C$57*D27),0,MIN(Parameter!$C$29*AD27,Parameter!$C$31*(AD27-(Parameter!$C$30*Parameter!$C$57*D27))))+Eingaben!$C$16*AD27</f>
        <v/>
      </c>
      <c r="AF27" s="43">
        <f>IF(AND(Eingaben!$C$34=1,Eingaben!$C$31=1,M27&gt;0),MIN(AA27-J27,5*(AE27-J27)),AA27-J27)</f>
        <v/>
      </c>
      <c r="AG27" s="43">
        <f>M27-T27-AF27-U27+W27</f>
        <v/>
      </c>
      <c r="AH27" s="43">
        <f>IF(Eingaben!$C$46=2,0,MAX(0,(AH26-AI26)*(1+Parameter!$C$61)))</f>
        <v/>
      </c>
      <c r="AI27" s="43">
        <f>IF(Eingaben!$C$46=1,IF(F27=0,0,MIN(AH27,Ansparphase!$BA$57*IF(19=0,Eingaben!$C$45,0)+(Ansparphase!$BA$57*(1-Eingaben!$C$45))*$CG$4)),Ansparphase!$BA$57*IF(19=0,Eingaben!$C$45,0)+(((Ansparphase!$BA$57*(1-Eingaben!$C$45))+(Ansparphase!$BB$57*(1-Eingaben!$C$45)))*Eingaben!$C$47/10000*12*(1+Eingaben!$C$48)^19*F27)*IF(((Ansparphase!$BA$57*(1-Eingaben!$C$45))+(Ansparphase!$BB$57*(1-Eingaben!$C$45)))=0,0,(Ansparphase!$BA$57*(1-Eingaben!$C$45))/((Ansparphase!$BA$57*(1-Eingaben!$C$45))+(Ansparphase!$BB$57*(1-Eingaben!$C$45)))))</f>
        <v/>
      </c>
      <c r="AJ27" s="43">
        <f>IF(Eingaben!$C$46=2,0,MAX(0,(AJ26-AK26)*(1+Parameter!$C$61)))</f>
        <v/>
      </c>
      <c r="AK27" s="43">
        <f>AO27+AP27</f>
        <v/>
      </c>
      <c r="AL27" s="43">
        <f>MAX(0,(AL26-AM26)*(1+Parameter!$C$62))</f>
        <v/>
      </c>
      <c r="AM27" s="43">
        <f>IF(F27=0,0,MIN(AL27,Ansparphase!$BC$57*$CG$5))</f>
        <v/>
      </c>
      <c r="AN27" s="43">
        <f>MAX(0,AM27*(1-IF(Ansparphase!$BC$57=0,1,MIN(1,Ansparphase!$BD$57/Ansparphase!$BC$57)))*(1-Parameter!$C$37))*Parameter!$C$36</f>
        <v/>
      </c>
      <c r="AO27" s="43">
        <f>IF(Eingaben!$C$46=1,IF(F27=0,0,MIN(AJ27,Ansparphase!$BB$57*IF(19=0,Eingaben!$C$45,0)+(Ansparphase!$BB$57*(1-Eingaben!$C$45))*$CG$4)),Ansparphase!$BB$57*IF(19=0,Eingaben!$C$45,0))</f>
        <v/>
      </c>
      <c r="AP27" s="43">
        <f>IF(Eingaben!$C$46=1,0,(((Ansparphase!$BA$57*(1-Eingaben!$C$45))+(Ansparphase!$BB$57*(1-Eingaben!$C$45)))*Eingaben!$C$47/10000*12*(1+Eingaben!$C$48)^19*F27)*IF(((Ansparphase!$BA$57*(1-Eingaben!$C$45))+(Ansparphase!$BB$57*(1-Eingaben!$C$45)))=0,0,(Ansparphase!$BB$57*(1-Eingaben!$C$45))/((Ansparphase!$BA$57*(1-Eingaben!$C$45))+(Ansparphase!$BB$57*(1-Eingaben!$C$45)))))</f>
        <v/>
      </c>
      <c r="AQ27" s="43">
        <f>IF(AND(Eingaben!$C$46=2,F27=0),((Ansparphase!$BA$57*(1-Eingaben!$C$45))+(Ansparphase!$BB$57*(1-Eingaben!$C$45)))*Eingaben!$C$47/10000*12*(1+Eingaben!$C$48)^19,0)</f>
        <v/>
      </c>
      <c r="AR27" s="43">
        <f>AI27+AO27*(1-IF(Ansparphase!$BB$57=0,1,MIN(1,$CG$7/Ansparphase!$BB$57)))*Parameter!$C$52+AP27*Parameter!$C$51</f>
        <v/>
      </c>
      <c r="AS27" s="43">
        <f>MAX(0,G27+AR27)</f>
        <v/>
      </c>
      <c r="AT27" s="43">
        <f>MAX(0,(AS27+IF(Eingaben!$C$14=3,Eingaben!$C$15,0))/Parameter!$C$57/D27)</f>
        <v/>
      </c>
      <c r="AU27" s="43">
        <f>Parameter!$C$57*D27*(IF(AT27&lt;=Parameter!$C$18,0,IF(AT27&lt;=Parameter!$C$19,(Parameter!$C$22*(AT27-Parameter!$C$18)/10000+Parameter!$C$23)*(AT27-Parameter!$C$18)/10000,IF(AT27&lt;=Parameter!$C$20,(Parameter!$C$24*(AT27-Parameter!$C$19)/10000+Parameter!$C$25)*(AT27-Parameter!$C$19)/10000+Parameter!$C$26,IF(AT27&lt;=Parameter!$C$21,0.42*AT27-Parameter!$C$27,0.45*AT27-Parameter!$C$28)))))</f>
        <v/>
      </c>
      <c r="AV27" s="43">
        <f>AU27+IF(AU27&lt;=(Parameter!$C$30*Parameter!$C$57*D27),0,MIN(Parameter!$C$29*AU27,Parameter!$C$31*(AU27-(Parameter!$C$30*Parameter!$C$57*D27))))+Eingaben!$C$16*AU27</f>
        <v/>
      </c>
      <c r="AW27" s="43">
        <f>AI27+AK27-(AV27-J27)+AM27-AN27</f>
        <v/>
      </c>
      <c r="AX27" s="43">
        <f>MAX(0,(AX26-AZ26)*(1+Parameter!$C$62))</f>
        <v/>
      </c>
      <c r="AY27" s="43">
        <f>MAX(0,AY26-AY26*IF(AX26=0,0,AZ26/AX26))</f>
        <v/>
      </c>
      <c r="AZ27" s="43">
        <f>IF(F27=0,0,MIN(AX27,Ansparphase!$BG$57*$CG$5))</f>
        <v/>
      </c>
      <c r="BA27" s="43">
        <f>AZ27-IF(AX27=0,0,AY27*AZ27/AX27)</f>
        <v/>
      </c>
      <c r="BB27" s="43">
        <f>MAX(0,BA27*(1-Parameter!$C$37)-Parameter!$C$67)*Parameter!$C$36</f>
        <v/>
      </c>
      <c r="BC27" s="43">
        <f>AZ27-BB27</f>
        <v/>
      </c>
      <c r="BD27" s="41">
        <f>1/(1+Eingaben!$C$40)^C27</f>
        <v/>
      </c>
      <c r="BE27" s="43">
        <f>IF(AND(Eingaben!$C$31=2,F27=0),(Ansparphase!$AY$57+Ansparphase!$AZ$57)*Eingaben!$C$32/10000*12*(1+Eingaben!$C$33)^19,0)</f>
        <v/>
      </c>
      <c r="BF27" s="41">
        <f>1/(1+Parameter!$C$68)^19</f>
        <v/>
      </c>
    </row>
    <row r="28">
      <c r="A28" s="30">
        <f>2026+C28</f>
        <v/>
      </c>
      <c r="B28" s="30">
        <f>Eingaben!$C$6+20</f>
        <v/>
      </c>
      <c r="C28" s="30">
        <f>B28-Eingaben!$C$5</f>
        <v/>
      </c>
      <c r="D28" s="38">
        <f>(1+Eingaben!$C$17)^C28</f>
        <v/>
      </c>
      <c r="E28" s="38">
        <f>(1+Eingaben!$C$13)^C28</f>
        <v/>
      </c>
      <c r="F28" s="30">
        <f>IF(B28&lt;=Eingaben!$C$7,1,0)</f>
        <v/>
      </c>
      <c r="G28" s="40">
        <f>Eingaben!$C$43*(1+Eingaben!$C$40)^C28</f>
        <v/>
      </c>
      <c r="H28" s="40">
        <f>MAX(0,(G28+IF(Eingaben!$C$14=3,Eingaben!$C$15,0))/Parameter!$C$57/D28)</f>
        <v/>
      </c>
      <c r="I28" s="40">
        <f>Parameter!$C$57*D28*(IF(H28&lt;=Parameter!$C$18,0,IF(H28&lt;=Parameter!$C$19,(Parameter!$C$22*(H28-Parameter!$C$18)/10000+Parameter!$C$23)*(H28-Parameter!$C$18)/10000,IF(H28&lt;=Parameter!$C$20,(Parameter!$C$24*(H28-Parameter!$C$19)/10000+Parameter!$C$25)*(H28-Parameter!$C$19)/10000+Parameter!$C$26,IF(H28&lt;=Parameter!$C$21,0.42*H28-Parameter!$C$27,0.45*H28-Parameter!$C$28)))))</f>
        <v/>
      </c>
      <c r="J28" s="40">
        <f>I28+IF(I28&lt;=(Parameter!$C$30*Parameter!$C$57*D28),0,MIN(Parameter!$C$29*I28,Parameter!$C$31*(I28-(Parameter!$C$30*Parameter!$C$57*D28))))+Eingaben!$C$16*I28</f>
        <v/>
      </c>
      <c r="K28" s="40">
        <f>IF(Eingaben!$C$31=1,IF(0=1,Ansparphase!$AY$57,0),(Ansparphase!$AY$57+Ansparphase!$AZ$57)*Eingaben!$C$32/10000*12*(1+Eingaben!$C$33)^20*F28*IF((Ansparphase!$AY$57+Ansparphase!$AZ$57)=0,0,Ansparphase!$AY$57/(Ansparphase!$AY$57+Ansparphase!$AZ$57)))</f>
        <v/>
      </c>
      <c r="L28" s="40">
        <f>IF(Eingaben!$C$31=1,IF(0=1,Ansparphase!$AZ$57,0),(Ansparphase!$AY$57+Ansparphase!$AZ$57)*Eingaben!$C$32/10000*12*(1+Eingaben!$C$33)^20*F28*IF((Ansparphase!$AY$57+Ansparphase!$AZ$57)=0,0,Ansparphase!$AZ$57/(Ansparphase!$AY$57+Ansparphase!$AZ$57)))</f>
        <v/>
      </c>
      <c r="M28" s="40">
        <f>K28+L28</f>
        <v/>
      </c>
      <c r="N28" s="40">
        <f>K28+L28*IF(Eingaben!$C$31=1,(1-IF(Ansparphase!$AZ$57=0,1,MIN(1,$CG$8/Ansparphase!$AZ$57)))*Parameter!$C$52,Parameter!$C$51)</f>
        <v/>
      </c>
      <c r="O28" s="40">
        <f>IF(Eingaben!$C$31=1,IF(20&lt;10,(Ansparphase!$AY$57+Ansparphase!$AZ$57)/120,0),M28/12)</f>
        <v/>
      </c>
      <c r="P28" s="40">
        <f>Eingaben!$C$44/12*(1+Eingaben!$C$13)^C28</f>
        <v/>
      </c>
      <c r="Q28" s="40">
        <f>MAX(0,MIN(O28,Parameter!$C$5/12*E28-P28))</f>
        <v/>
      </c>
      <c r="R28" s="40">
        <f>IF(Eingaben!$C$42=2,0,MAX(0,Q28-Parameter!$C$7*E28)*Parameter!$C$54*12)</f>
        <v/>
      </c>
      <c r="S28" s="40">
        <f>IF(Eingaben!$C$42=2,0,IF(O28&gt;Parameter!$C$7*E28,Q28*Parameter!$C$59*12,0))</f>
        <v/>
      </c>
      <c r="T28" s="40">
        <f>R28+S28</f>
        <v/>
      </c>
      <c r="U28" s="40">
        <f>Ansparphase!$BL$57*Parameter!$C$9*12*(1+Eingaben!$C$13)^(Eingaben!$C$6-Eingaben!$C$5)*(1+Eingaben!$C$13)^20*F28</f>
        <v/>
      </c>
      <c r="V28" s="40">
        <f>U28*Parameter!$C$66</f>
        <v/>
      </c>
      <c r="W28" s="40">
        <f>IF(Eingaben!$C$42=2,0,U28*(Parameter!$C$53+Parameter!$C$59))</f>
        <v/>
      </c>
      <c r="X28" s="40">
        <f>MAX(0,G28-V28+N28-T28+W28)</f>
        <v/>
      </c>
      <c r="Y28" s="40">
        <f>MAX(0,(X28+IF(Eingaben!$C$14=3,Eingaben!$C$15,0))/Parameter!$C$57/D28)</f>
        <v/>
      </c>
      <c r="Z28" s="40">
        <f>Parameter!$C$57*D28*(IF(Y28&lt;=Parameter!$C$18,0,IF(Y28&lt;=Parameter!$C$19,(Parameter!$C$22*(Y28-Parameter!$C$18)/10000+Parameter!$C$23)*(Y28-Parameter!$C$18)/10000,IF(Y28&lt;=Parameter!$C$20,(Parameter!$C$24*(Y28-Parameter!$C$19)/10000+Parameter!$C$25)*(Y28-Parameter!$C$19)/10000+Parameter!$C$26,IF(Y28&lt;=Parameter!$C$21,0.42*Y28-Parameter!$C$27,0.45*Y28-Parameter!$C$28)))))</f>
        <v/>
      </c>
      <c r="AA28" s="40">
        <f>Z28+IF(Z28&lt;=(Parameter!$C$30*Parameter!$C$57*D28),0,MIN(Parameter!$C$29*Z28,Parameter!$C$31*(Z28-(Parameter!$C$30*Parameter!$C$57*D28))))+Eingaben!$C$16*Z28</f>
        <v/>
      </c>
      <c r="AB28" s="40">
        <f>MAX(0,G28-V28+N28/5-T28+W28)</f>
        <v/>
      </c>
      <c r="AC28" s="40">
        <f>MAX(0,(AB28+IF(Eingaben!$C$14=3,Eingaben!$C$15,0))/Parameter!$C$57/D28)</f>
        <v/>
      </c>
      <c r="AD28" s="40">
        <f>Parameter!$C$57*D28*(IF(AC28&lt;=Parameter!$C$18,0,IF(AC28&lt;=Parameter!$C$19,(Parameter!$C$22*(AC28-Parameter!$C$18)/10000+Parameter!$C$23)*(AC28-Parameter!$C$18)/10000,IF(AC28&lt;=Parameter!$C$20,(Parameter!$C$24*(AC28-Parameter!$C$19)/10000+Parameter!$C$25)*(AC28-Parameter!$C$19)/10000+Parameter!$C$26,IF(AC28&lt;=Parameter!$C$21,0.42*AC28-Parameter!$C$27,0.45*AC28-Parameter!$C$28)))))</f>
        <v/>
      </c>
      <c r="AE28" s="40">
        <f>AD28+IF(AD28&lt;=(Parameter!$C$30*Parameter!$C$57*D28),0,MIN(Parameter!$C$29*AD28,Parameter!$C$31*(AD28-(Parameter!$C$30*Parameter!$C$57*D28))))+Eingaben!$C$16*AD28</f>
        <v/>
      </c>
      <c r="AF28" s="40">
        <f>IF(AND(Eingaben!$C$34=1,Eingaben!$C$31=1,M28&gt;0),MIN(AA28-J28,5*(AE28-J28)),AA28-J28)</f>
        <v/>
      </c>
      <c r="AG28" s="40">
        <f>M28-T28-AF28-U28+W28</f>
        <v/>
      </c>
      <c r="AH28" s="40">
        <f>IF(Eingaben!$C$46=2,0,MAX(0,(AH27-AI27)*(1+Parameter!$C$61)))</f>
        <v/>
      </c>
      <c r="AI28" s="40">
        <f>IF(Eingaben!$C$46=1,IF(F28=0,0,MIN(AH28,Ansparphase!$BA$57*IF(20=0,Eingaben!$C$45,0)+(Ansparphase!$BA$57*(1-Eingaben!$C$45))*$CG$4)),Ansparphase!$BA$57*IF(20=0,Eingaben!$C$45,0)+(((Ansparphase!$BA$57*(1-Eingaben!$C$45))+(Ansparphase!$BB$57*(1-Eingaben!$C$45)))*Eingaben!$C$47/10000*12*(1+Eingaben!$C$48)^20*F28)*IF(((Ansparphase!$BA$57*(1-Eingaben!$C$45))+(Ansparphase!$BB$57*(1-Eingaben!$C$45)))=0,0,(Ansparphase!$BA$57*(1-Eingaben!$C$45))/((Ansparphase!$BA$57*(1-Eingaben!$C$45))+(Ansparphase!$BB$57*(1-Eingaben!$C$45)))))</f>
        <v/>
      </c>
      <c r="AJ28" s="40">
        <f>IF(Eingaben!$C$46=2,0,MAX(0,(AJ27-AK27)*(1+Parameter!$C$61)))</f>
        <v/>
      </c>
      <c r="AK28" s="40">
        <f>AO28+AP28</f>
        <v/>
      </c>
      <c r="AL28" s="40">
        <f>MAX(0,(AL27-AM27)*(1+Parameter!$C$62))</f>
        <v/>
      </c>
      <c r="AM28" s="40">
        <f>IF(F28=0,0,MIN(AL28,Ansparphase!$BC$57*$CG$5))</f>
        <v/>
      </c>
      <c r="AN28" s="40">
        <f>MAX(0,AM28*(1-IF(Ansparphase!$BC$57=0,1,MIN(1,Ansparphase!$BD$57/Ansparphase!$BC$57)))*(1-Parameter!$C$37))*Parameter!$C$36</f>
        <v/>
      </c>
      <c r="AO28" s="40">
        <f>IF(Eingaben!$C$46=1,IF(F28=0,0,MIN(AJ28,Ansparphase!$BB$57*IF(20=0,Eingaben!$C$45,0)+(Ansparphase!$BB$57*(1-Eingaben!$C$45))*$CG$4)),Ansparphase!$BB$57*IF(20=0,Eingaben!$C$45,0))</f>
        <v/>
      </c>
      <c r="AP28" s="40">
        <f>IF(Eingaben!$C$46=1,0,(((Ansparphase!$BA$57*(1-Eingaben!$C$45))+(Ansparphase!$BB$57*(1-Eingaben!$C$45)))*Eingaben!$C$47/10000*12*(1+Eingaben!$C$48)^20*F28)*IF(((Ansparphase!$BA$57*(1-Eingaben!$C$45))+(Ansparphase!$BB$57*(1-Eingaben!$C$45)))=0,0,(Ansparphase!$BB$57*(1-Eingaben!$C$45))/((Ansparphase!$BA$57*(1-Eingaben!$C$45))+(Ansparphase!$BB$57*(1-Eingaben!$C$45)))))</f>
        <v/>
      </c>
      <c r="AQ28" s="40">
        <f>IF(AND(Eingaben!$C$46=2,F28=0),((Ansparphase!$BA$57*(1-Eingaben!$C$45))+(Ansparphase!$BB$57*(1-Eingaben!$C$45)))*Eingaben!$C$47/10000*12*(1+Eingaben!$C$48)^20,0)</f>
        <v/>
      </c>
      <c r="AR28" s="40">
        <f>AI28+AO28*(1-IF(Ansparphase!$BB$57=0,1,MIN(1,$CG$7/Ansparphase!$BB$57)))*Parameter!$C$52+AP28*Parameter!$C$51</f>
        <v/>
      </c>
      <c r="AS28" s="40">
        <f>MAX(0,G28+AR28)</f>
        <v/>
      </c>
      <c r="AT28" s="40">
        <f>MAX(0,(AS28+IF(Eingaben!$C$14=3,Eingaben!$C$15,0))/Parameter!$C$57/D28)</f>
        <v/>
      </c>
      <c r="AU28" s="40">
        <f>Parameter!$C$57*D28*(IF(AT28&lt;=Parameter!$C$18,0,IF(AT28&lt;=Parameter!$C$19,(Parameter!$C$22*(AT28-Parameter!$C$18)/10000+Parameter!$C$23)*(AT28-Parameter!$C$18)/10000,IF(AT28&lt;=Parameter!$C$20,(Parameter!$C$24*(AT28-Parameter!$C$19)/10000+Parameter!$C$25)*(AT28-Parameter!$C$19)/10000+Parameter!$C$26,IF(AT28&lt;=Parameter!$C$21,0.42*AT28-Parameter!$C$27,0.45*AT28-Parameter!$C$28)))))</f>
        <v/>
      </c>
      <c r="AV28" s="40">
        <f>AU28+IF(AU28&lt;=(Parameter!$C$30*Parameter!$C$57*D28),0,MIN(Parameter!$C$29*AU28,Parameter!$C$31*(AU28-(Parameter!$C$30*Parameter!$C$57*D28))))+Eingaben!$C$16*AU28</f>
        <v/>
      </c>
      <c r="AW28" s="40">
        <f>AI28+AK28-(AV28-J28)+AM28-AN28</f>
        <v/>
      </c>
      <c r="AX28" s="40">
        <f>MAX(0,(AX27-AZ27)*(1+Parameter!$C$62))</f>
        <v/>
      </c>
      <c r="AY28" s="40">
        <f>MAX(0,AY27-AY27*IF(AX27=0,0,AZ27/AX27))</f>
        <v/>
      </c>
      <c r="AZ28" s="40">
        <f>IF(F28=0,0,MIN(AX28,Ansparphase!$BG$57*$CG$5))</f>
        <v/>
      </c>
      <c r="BA28" s="40">
        <f>AZ28-IF(AX28=0,0,AY28*AZ28/AX28)</f>
        <v/>
      </c>
      <c r="BB28" s="40">
        <f>MAX(0,BA28*(1-Parameter!$C$37)-Parameter!$C$67)*Parameter!$C$36</f>
        <v/>
      </c>
      <c r="BC28" s="40">
        <f>AZ28-BB28</f>
        <v/>
      </c>
      <c r="BD28" s="38">
        <f>1/(1+Eingaben!$C$40)^C28</f>
        <v/>
      </c>
      <c r="BE28" s="40">
        <f>IF(AND(Eingaben!$C$31=2,F28=0),(Ansparphase!$AY$57+Ansparphase!$AZ$57)*Eingaben!$C$32/10000*12*(1+Eingaben!$C$33)^20,0)</f>
        <v/>
      </c>
      <c r="BF28" s="38">
        <f>1/(1+Parameter!$C$68)^20</f>
        <v/>
      </c>
    </row>
    <row r="29">
      <c r="A29" s="32">
        <f>2026+C29</f>
        <v/>
      </c>
      <c r="B29" s="32">
        <f>Eingaben!$C$6+21</f>
        <v/>
      </c>
      <c r="C29" s="32">
        <f>B29-Eingaben!$C$5</f>
        <v/>
      </c>
      <c r="D29" s="41">
        <f>(1+Eingaben!$C$17)^C29</f>
        <v/>
      </c>
      <c r="E29" s="41">
        <f>(1+Eingaben!$C$13)^C29</f>
        <v/>
      </c>
      <c r="F29" s="32">
        <f>IF(B29&lt;=Eingaben!$C$7,1,0)</f>
        <v/>
      </c>
      <c r="G29" s="43">
        <f>Eingaben!$C$43*(1+Eingaben!$C$40)^C29</f>
        <v/>
      </c>
      <c r="H29" s="43">
        <f>MAX(0,(G29+IF(Eingaben!$C$14=3,Eingaben!$C$15,0))/Parameter!$C$57/D29)</f>
        <v/>
      </c>
      <c r="I29" s="43">
        <f>Parameter!$C$57*D29*(IF(H29&lt;=Parameter!$C$18,0,IF(H29&lt;=Parameter!$C$19,(Parameter!$C$22*(H29-Parameter!$C$18)/10000+Parameter!$C$23)*(H29-Parameter!$C$18)/10000,IF(H29&lt;=Parameter!$C$20,(Parameter!$C$24*(H29-Parameter!$C$19)/10000+Parameter!$C$25)*(H29-Parameter!$C$19)/10000+Parameter!$C$26,IF(H29&lt;=Parameter!$C$21,0.42*H29-Parameter!$C$27,0.45*H29-Parameter!$C$28)))))</f>
        <v/>
      </c>
      <c r="J29" s="43">
        <f>I29+IF(I29&lt;=(Parameter!$C$30*Parameter!$C$57*D29),0,MIN(Parameter!$C$29*I29,Parameter!$C$31*(I29-(Parameter!$C$30*Parameter!$C$57*D29))))+Eingaben!$C$16*I29</f>
        <v/>
      </c>
      <c r="K29" s="43">
        <f>IF(Eingaben!$C$31=1,IF(0=1,Ansparphase!$AY$57,0),(Ansparphase!$AY$57+Ansparphase!$AZ$57)*Eingaben!$C$32/10000*12*(1+Eingaben!$C$33)^21*F29*IF((Ansparphase!$AY$57+Ansparphase!$AZ$57)=0,0,Ansparphase!$AY$57/(Ansparphase!$AY$57+Ansparphase!$AZ$57)))</f>
        <v/>
      </c>
      <c r="L29" s="43">
        <f>IF(Eingaben!$C$31=1,IF(0=1,Ansparphase!$AZ$57,0),(Ansparphase!$AY$57+Ansparphase!$AZ$57)*Eingaben!$C$32/10000*12*(1+Eingaben!$C$33)^21*F29*IF((Ansparphase!$AY$57+Ansparphase!$AZ$57)=0,0,Ansparphase!$AZ$57/(Ansparphase!$AY$57+Ansparphase!$AZ$57)))</f>
        <v/>
      </c>
      <c r="M29" s="43">
        <f>K29+L29</f>
        <v/>
      </c>
      <c r="N29" s="43">
        <f>K29+L29*IF(Eingaben!$C$31=1,(1-IF(Ansparphase!$AZ$57=0,1,MIN(1,$CG$8/Ansparphase!$AZ$57)))*Parameter!$C$52,Parameter!$C$51)</f>
        <v/>
      </c>
      <c r="O29" s="43">
        <f>IF(Eingaben!$C$31=1,IF(21&lt;10,(Ansparphase!$AY$57+Ansparphase!$AZ$57)/120,0),M29/12)</f>
        <v/>
      </c>
      <c r="P29" s="43">
        <f>Eingaben!$C$44/12*(1+Eingaben!$C$13)^C29</f>
        <v/>
      </c>
      <c r="Q29" s="43">
        <f>MAX(0,MIN(O29,Parameter!$C$5/12*E29-P29))</f>
        <v/>
      </c>
      <c r="R29" s="43">
        <f>IF(Eingaben!$C$42=2,0,MAX(0,Q29-Parameter!$C$7*E29)*Parameter!$C$54*12)</f>
        <v/>
      </c>
      <c r="S29" s="43">
        <f>IF(Eingaben!$C$42=2,0,IF(O29&gt;Parameter!$C$7*E29,Q29*Parameter!$C$59*12,0))</f>
        <v/>
      </c>
      <c r="T29" s="43">
        <f>R29+S29</f>
        <v/>
      </c>
      <c r="U29" s="43">
        <f>Ansparphase!$BL$57*Parameter!$C$9*12*(1+Eingaben!$C$13)^(Eingaben!$C$6-Eingaben!$C$5)*(1+Eingaben!$C$13)^21*F29</f>
        <v/>
      </c>
      <c r="V29" s="43">
        <f>U29*Parameter!$C$66</f>
        <v/>
      </c>
      <c r="W29" s="43">
        <f>IF(Eingaben!$C$42=2,0,U29*(Parameter!$C$53+Parameter!$C$59))</f>
        <v/>
      </c>
      <c r="X29" s="43">
        <f>MAX(0,G29-V29+N29-T29+W29)</f>
        <v/>
      </c>
      <c r="Y29" s="43">
        <f>MAX(0,(X29+IF(Eingaben!$C$14=3,Eingaben!$C$15,0))/Parameter!$C$57/D29)</f>
        <v/>
      </c>
      <c r="Z29" s="43">
        <f>Parameter!$C$57*D29*(IF(Y29&lt;=Parameter!$C$18,0,IF(Y29&lt;=Parameter!$C$19,(Parameter!$C$22*(Y29-Parameter!$C$18)/10000+Parameter!$C$23)*(Y29-Parameter!$C$18)/10000,IF(Y29&lt;=Parameter!$C$20,(Parameter!$C$24*(Y29-Parameter!$C$19)/10000+Parameter!$C$25)*(Y29-Parameter!$C$19)/10000+Parameter!$C$26,IF(Y29&lt;=Parameter!$C$21,0.42*Y29-Parameter!$C$27,0.45*Y29-Parameter!$C$28)))))</f>
        <v/>
      </c>
      <c r="AA29" s="43">
        <f>Z29+IF(Z29&lt;=(Parameter!$C$30*Parameter!$C$57*D29),0,MIN(Parameter!$C$29*Z29,Parameter!$C$31*(Z29-(Parameter!$C$30*Parameter!$C$57*D29))))+Eingaben!$C$16*Z29</f>
        <v/>
      </c>
      <c r="AB29" s="43">
        <f>MAX(0,G29-V29+N29/5-T29+W29)</f>
        <v/>
      </c>
      <c r="AC29" s="43">
        <f>MAX(0,(AB29+IF(Eingaben!$C$14=3,Eingaben!$C$15,0))/Parameter!$C$57/D29)</f>
        <v/>
      </c>
      <c r="AD29" s="43">
        <f>Parameter!$C$57*D29*(IF(AC29&lt;=Parameter!$C$18,0,IF(AC29&lt;=Parameter!$C$19,(Parameter!$C$22*(AC29-Parameter!$C$18)/10000+Parameter!$C$23)*(AC29-Parameter!$C$18)/10000,IF(AC29&lt;=Parameter!$C$20,(Parameter!$C$24*(AC29-Parameter!$C$19)/10000+Parameter!$C$25)*(AC29-Parameter!$C$19)/10000+Parameter!$C$26,IF(AC29&lt;=Parameter!$C$21,0.42*AC29-Parameter!$C$27,0.45*AC29-Parameter!$C$28)))))</f>
        <v/>
      </c>
      <c r="AE29" s="43">
        <f>AD29+IF(AD29&lt;=(Parameter!$C$30*Parameter!$C$57*D29),0,MIN(Parameter!$C$29*AD29,Parameter!$C$31*(AD29-(Parameter!$C$30*Parameter!$C$57*D29))))+Eingaben!$C$16*AD29</f>
        <v/>
      </c>
      <c r="AF29" s="43">
        <f>IF(AND(Eingaben!$C$34=1,Eingaben!$C$31=1,M29&gt;0),MIN(AA29-J29,5*(AE29-J29)),AA29-J29)</f>
        <v/>
      </c>
      <c r="AG29" s="43">
        <f>M29-T29-AF29-U29+W29</f>
        <v/>
      </c>
      <c r="AH29" s="43">
        <f>IF(Eingaben!$C$46=2,0,MAX(0,(AH28-AI28)*(1+Parameter!$C$61)))</f>
        <v/>
      </c>
      <c r="AI29" s="43">
        <f>IF(Eingaben!$C$46=1,IF(F29=0,0,MIN(AH29,Ansparphase!$BA$57*IF(21=0,Eingaben!$C$45,0)+(Ansparphase!$BA$57*(1-Eingaben!$C$45))*$CG$4)),Ansparphase!$BA$57*IF(21=0,Eingaben!$C$45,0)+(((Ansparphase!$BA$57*(1-Eingaben!$C$45))+(Ansparphase!$BB$57*(1-Eingaben!$C$45)))*Eingaben!$C$47/10000*12*(1+Eingaben!$C$48)^21*F29)*IF(((Ansparphase!$BA$57*(1-Eingaben!$C$45))+(Ansparphase!$BB$57*(1-Eingaben!$C$45)))=0,0,(Ansparphase!$BA$57*(1-Eingaben!$C$45))/((Ansparphase!$BA$57*(1-Eingaben!$C$45))+(Ansparphase!$BB$57*(1-Eingaben!$C$45)))))</f>
        <v/>
      </c>
      <c r="AJ29" s="43">
        <f>IF(Eingaben!$C$46=2,0,MAX(0,(AJ28-AK28)*(1+Parameter!$C$61)))</f>
        <v/>
      </c>
      <c r="AK29" s="43">
        <f>AO29+AP29</f>
        <v/>
      </c>
      <c r="AL29" s="43">
        <f>MAX(0,(AL28-AM28)*(1+Parameter!$C$62))</f>
        <v/>
      </c>
      <c r="AM29" s="43">
        <f>IF(F29=0,0,MIN(AL29,Ansparphase!$BC$57*$CG$5))</f>
        <v/>
      </c>
      <c r="AN29" s="43">
        <f>MAX(0,AM29*(1-IF(Ansparphase!$BC$57=0,1,MIN(1,Ansparphase!$BD$57/Ansparphase!$BC$57)))*(1-Parameter!$C$37))*Parameter!$C$36</f>
        <v/>
      </c>
      <c r="AO29" s="43">
        <f>IF(Eingaben!$C$46=1,IF(F29=0,0,MIN(AJ29,Ansparphase!$BB$57*IF(21=0,Eingaben!$C$45,0)+(Ansparphase!$BB$57*(1-Eingaben!$C$45))*$CG$4)),Ansparphase!$BB$57*IF(21=0,Eingaben!$C$45,0))</f>
        <v/>
      </c>
      <c r="AP29" s="43">
        <f>IF(Eingaben!$C$46=1,0,(((Ansparphase!$BA$57*(1-Eingaben!$C$45))+(Ansparphase!$BB$57*(1-Eingaben!$C$45)))*Eingaben!$C$47/10000*12*(1+Eingaben!$C$48)^21*F29)*IF(((Ansparphase!$BA$57*(1-Eingaben!$C$45))+(Ansparphase!$BB$57*(1-Eingaben!$C$45)))=0,0,(Ansparphase!$BB$57*(1-Eingaben!$C$45))/((Ansparphase!$BA$57*(1-Eingaben!$C$45))+(Ansparphase!$BB$57*(1-Eingaben!$C$45)))))</f>
        <v/>
      </c>
      <c r="AQ29" s="43">
        <f>IF(AND(Eingaben!$C$46=2,F29=0),((Ansparphase!$BA$57*(1-Eingaben!$C$45))+(Ansparphase!$BB$57*(1-Eingaben!$C$45)))*Eingaben!$C$47/10000*12*(1+Eingaben!$C$48)^21,0)</f>
        <v/>
      </c>
      <c r="AR29" s="43">
        <f>AI29+AO29*(1-IF(Ansparphase!$BB$57=0,1,MIN(1,$CG$7/Ansparphase!$BB$57)))*Parameter!$C$52+AP29*Parameter!$C$51</f>
        <v/>
      </c>
      <c r="AS29" s="43">
        <f>MAX(0,G29+AR29)</f>
        <v/>
      </c>
      <c r="AT29" s="43">
        <f>MAX(0,(AS29+IF(Eingaben!$C$14=3,Eingaben!$C$15,0))/Parameter!$C$57/D29)</f>
        <v/>
      </c>
      <c r="AU29" s="43">
        <f>Parameter!$C$57*D29*(IF(AT29&lt;=Parameter!$C$18,0,IF(AT29&lt;=Parameter!$C$19,(Parameter!$C$22*(AT29-Parameter!$C$18)/10000+Parameter!$C$23)*(AT29-Parameter!$C$18)/10000,IF(AT29&lt;=Parameter!$C$20,(Parameter!$C$24*(AT29-Parameter!$C$19)/10000+Parameter!$C$25)*(AT29-Parameter!$C$19)/10000+Parameter!$C$26,IF(AT29&lt;=Parameter!$C$21,0.42*AT29-Parameter!$C$27,0.45*AT29-Parameter!$C$28)))))</f>
        <v/>
      </c>
      <c r="AV29" s="43">
        <f>AU29+IF(AU29&lt;=(Parameter!$C$30*Parameter!$C$57*D29),0,MIN(Parameter!$C$29*AU29,Parameter!$C$31*(AU29-(Parameter!$C$30*Parameter!$C$57*D29))))+Eingaben!$C$16*AU29</f>
        <v/>
      </c>
      <c r="AW29" s="43">
        <f>AI29+AK29-(AV29-J29)+AM29-AN29</f>
        <v/>
      </c>
      <c r="AX29" s="43">
        <f>MAX(0,(AX28-AZ28)*(1+Parameter!$C$62))</f>
        <v/>
      </c>
      <c r="AY29" s="43">
        <f>MAX(0,AY28-AY28*IF(AX28=0,0,AZ28/AX28))</f>
        <v/>
      </c>
      <c r="AZ29" s="43">
        <f>IF(F29=0,0,MIN(AX29,Ansparphase!$BG$57*$CG$5))</f>
        <v/>
      </c>
      <c r="BA29" s="43">
        <f>AZ29-IF(AX29=0,0,AY29*AZ29/AX29)</f>
        <v/>
      </c>
      <c r="BB29" s="43">
        <f>MAX(0,BA29*(1-Parameter!$C$37)-Parameter!$C$67)*Parameter!$C$36</f>
        <v/>
      </c>
      <c r="BC29" s="43">
        <f>AZ29-BB29</f>
        <v/>
      </c>
      <c r="BD29" s="41">
        <f>1/(1+Eingaben!$C$40)^C29</f>
        <v/>
      </c>
      <c r="BE29" s="43">
        <f>IF(AND(Eingaben!$C$31=2,F29=0),(Ansparphase!$AY$57+Ansparphase!$AZ$57)*Eingaben!$C$32/10000*12*(1+Eingaben!$C$33)^21,0)</f>
        <v/>
      </c>
      <c r="BF29" s="41">
        <f>1/(1+Parameter!$C$68)^21</f>
        <v/>
      </c>
    </row>
    <row r="30">
      <c r="A30" s="30">
        <f>2026+C30</f>
        <v/>
      </c>
      <c r="B30" s="30">
        <f>Eingaben!$C$6+22</f>
        <v/>
      </c>
      <c r="C30" s="30">
        <f>B30-Eingaben!$C$5</f>
        <v/>
      </c>
      <c r="D30" s="38">
        <f>(1+Eingaben!$C$17)^C30</f>
        <v/>
      </c>
      <c r="E30" s="38">
        <f>(1+Eingaben!$C$13)^C30</f>
        <v/>
      </c>
      <c r="F30" s="30">
        <f>IF(B30&lt;=Eingaben!$C$7,1,0)</f>
        <v/>
      </c>
      <c r="G30" s="40">
        <f>Eingaben!$C$43*(1+Eingaben!$C$40)^C30</f>
        <v/>
      </c>
      <c r="H30" s="40">
        <f>MAX(0,(G30+IF(Eingaben!$C$14=3,Eingaben!$C$15,0))/Parameter!$C$57/D30)</f>
        <v/>
      </c>
      <c r="I30" s="40">
        <f>Parameter!$C$57*D30*(IF(H30&lt;=Parameter!$C$18,0,IF(H30&lt;=Parameter!$C$19,(Parameter!$C$22*(H30-Parameter!$C$18)/10000+Parameter!$C$23)*(H30-Parameter!$C$18)/10000,IF(H30&lt;=Parameter!$C$20,(Parameter!$C$24*(H30-Parameter!$C$19)/10000+Parameter!$C$25)*(H30-Parameter!$C$19)/10000+Parameter!$C$26,IF(H30&lt;=Parameter!$C$21,0.42*H30-Parameter!$C$27,0.45*H30-Parameter!$C$28)))))</f>
        <v/>
      </c>
      <c r="J30" s="40">
        <f>I30+IF(I30&lt;=(Parameter!$C$30*Parameter!$C$57*D30),0,MIN(Parameter!$C$29*I30,Parameter!$C$31*(I30-(Parameter!$C$30*Parameter!$C$57*D30))))+Eingaben!$C$16*I30</f>
        <v/>
      </c>
      <c r="K30" s="40">
        <f>IF(Eingaben!$C$31=1,IF(0=1,Ansparphase!$AY$57,0),(Ansparphase!$AY$57+Ansparphase!$AZ$57)*Eingaben!$C$32/10000*12*(1+Eingaben!$C$33)^22*F30*IF((Ansparphase!$AY$57+Ansparphase!$AZ$57)=0,0,Ansparphase!$AY$57/(Ansparphase!$AY$57+Ansparphase!$AZ$57)))</f>
        <v/>
      </c>
      <c r="L30" s="40">
        <f>IF(Eingaben!$C$31=1,IF(0=1,Ansparphase!$AZ$57,0),(Ansparphase!$AY$57+Ansparphase!$AZ$57)*Eingaben!$C$32/10000*12*(1+Eingaben!$C$33)^22*F30*IF((Ansparphase!$AY$57+Ansparphase!$AZ$57)=0,0,Ansparphase!$AZ$57/(Ansparphase!$AY$57+Ansparphase!$AZ$57)))</f>
        <v/>
      </c>
      <c r="M30" s="40">
        <f>K30+L30</f>
        <v/>
      </c>
      <c r="N30" s="40">
        <f>K30+L30*IF(Eingaben!$C$31=1,(1-IF(Ansparphase!$AZ$57=0,1,MIN(1,$CG$8/Ansparphase!$AZ$57)))*Parameter!$C$52,Parameter!$C$51)</f>
        <v/>
      </c>
      <c r="O30" s="40">
        <f>IF(Eingaben!$C$31=1,IF(22&lt;10,(Ansparphase!$AY$57+Ansparphase!$AZ$57)/120,0),M30/12)</f>
        <v/>
      </c>
      <c r="P30" s="40">
        <f>Eingaben!$C$44/12*(1+Eingaben!$C$13)^C30</f>
        <v/>
      </c>
      <c r="Q30" s="40">
        <f>MAX(0,MIN(O30,Parameter!$C$5/12*E30-P30))</f>
        <v/>
      </c>
      <c r="R30" s="40">
        <f>IF(Eingaben!$C$42=2,0,MAX(0,Q30-Parameter!$C$7*E30)*Parameter!$C$54*12)</f>
        <v/>
      </c>
      <c r="S30" s="40">
        <f>IF(Eingaben!$C$42=2,0,IF(O30&gt;Parameter!$C$7*E30,Q30*Parameter!$C$59*12,0))</f>
        <v/>
      </c>
      <c r="T30" s="40">
        <f>R30+S30</f>
        <v/>
      </c>
      <c r="U30" s="40">
        <f>Ansparphase!$BL$57*Parameter!$C$9*12*(1+Eingaben!$C$13)^(Eingaben!$C$6-Eingaben!$C$5)*(1+Eingaben!$C$13)^22*F30</f>
        <v/>
      </c>
      <c r="V30" s="40">
        <f>U30*Parameter!$C$66</f>
        <v/>
      </c>
      <c r="W30" s="40">
        <f>IF(Eingaben!$C$42=2,0,U30*(Parameter!$C$53+Parameter!$C$59))</f>
        <v/>
      </c>
      <c r="X30" s="40">
        <f>MAX(0,G30-V30+N30-T30+W30)</f>
        <v/>
      </c>
      <c r="Y30" s="40">
        <f>MAX(0,(X30+IF(Eingaben!$C$14=3,Eingaben!$C$15,0))/Parameter!$C$57/D30)</f>
        <v/>
      </c>
      <c r="Z30" s="40">
        <f>Parameter!$C$57*D30*(IF(Y30&lt;=Parameter!$C$18,0,IF(Y30&lt;=Parameter!$C$19,(Parameter!$C$22*(Y30-Parameter!$C$18)/10000+Parameter!$C$23)*(Y30-Parameter!$C$18)/10000,IF(Y30&lt;=Parameter!$C$20,(Parameter!$C$24*(Y30-Parameter!$C$19)/10000+Parameter!$C$25)*(Y30-Parameter!$C$19)/10000+Parameter!$C$26,IF(Y30&lt;=Parameter!$C$21,0.42*Y30-Parameter!$C$27,0.45*Y30-Parameter!$C$28)))))</f>
        <v/>
      </c>
      <c r="AA30" s="40">
        <f>Z30+IF(Z30&lt;=(Parameter!$C$30*Parameter!$C$57*D30),0,MIN(Parameter!$C$29*Z30,Parameter!$C$31*(Z30-(Parameter!$C$30*Parameter!$C$57*D30))))+Eingaben!$C$16*Z30</f>
        <v/>
      </c>
      <c r="AB30" s="40">
        <f>MAX(0,G30-V30+N30/5-T30+W30)</f>
        <v/>
      </c>
      <c r="AC30" s="40">
        <f>MAX(0,(AB30+IF(Eingaben!$C$14=3,Eingaben!$C$15,0))/Parameter!$C$57/D30)</f>
        <v/>
      </c>
      <c r="AD30" s="40">
        <f>Parameter!$C$57*D30*(IF(AC30&lt;=Parameter!$C$18,0,IF(AC30&lt;=Parameter!$C$19,(Parameter!$C$22*(AC30-Parameter!$C$18)/10000+Parameter!$C$23)*(AC30-Parameter!$C$18)/10000,IF(AC30&lt;=Parameter!$C$20,(Parameter!$C$24*(AC30-Parameter!$C$19)/10000+Parameter!$C$25)*(AC30-Parameter!$C$19)/10000+Parameter!$C$26,IF(AC30&lt;=Parameter!$C$21,0.42*AC30-Parameter!$C$27,0.45*AC30-Parameter!$C$28)))))</f>
        <v/>
      </c>
      <c r="AE30" s="40">
        <f>AD30+IF(AD30&lt;=(Parameter!$C$30*Parameter!$C$57*D30),0,MIN(Parameter!$C$29*AD30,Parameter!$C$31*(AD30-(Parameter!$C$30*Parameter!$C$57*D30))))+Eingaben!$C$16*AD30</f>
        <v/>
      </c>
      <c r="AF30" s="40">
        <f>IF(AND(Eingaben!$C$34=1,Eingaben!$C$31=1,M30&gt;0),MIN(AA30-J30,5*(AE30-J30)),AA30-J30)</f>
        <v/>
      </c>
      <c r="AG30" s="40">
        <f>M30-T30-AF30-U30+W30</f>
        <v/>
      </c>
      <c r="AH30" s="40">
        <f>IF(Eingaben!$C$46=2,0,MAX(0,(AH29-AI29)*(1+Parameter!$C$61)))</f>
        <v/>
      </c>
      <c r="AI30" s="40">
        <f>IF(Eingaben!$C$46=1,IF(F30=0,0,MIN(AH30,Ansparphase!$BA$57*IF(22=0,Eingaben!$C$45,0)+(Ansparphase!$BA$57*(1-Eingaben!$C$45))*$CG$4)),Ansparphase!$BA$57*IF(22=0,Eingaben!$C$45,0)+(((Ansparphase!$BA$57*(1-Eingaben!$C$45))+(Ansparphase!$BB$57*(1-Eingaben!$C$45)))*Eingaben!$C$47/10000*12*(1+Eingaben!$C$48)^22*F30)*IF(((Ansparphase!$BA$57*(1-Eingaben!$C$45))+(Ansparphase!$BB$57*(1-Eingaben!$C$45)))=0,0,(Ansparphase!$BA$57*(1-Eingaben!$C$45))/((Ansparphase!$BA$57*(1-Eingaben!$C$45))+(Ansparphase!$BB$57*(1-Eingaben!$C$45)))))</f>
        <v/>
      </c>
      <c r="AJ30" s="40">
        <f>IF(Eingaben!$C$46=2,0,MAX(0,(AJ29-AK29)*(1+Parameter!$C$61)))</f>
        <v/>
      </c>
      <c r="AK30" s="40">
        <f>AO30+AP30</f>
        <v/>
      </c>
      <c r="AL30" s="40">
        <f>MAX(0,(AL29-AM29)*(1+Parameter!$C$62))</f>
        <v/>
      </c>
      <c r="AM30" s="40">
        <f>IF(F30=0,0,MIN(AL30,Ansparphase!$BC$57*$CG$5))</f>
        <v/>
      </c>
      <c r="AN30" s="40">
        <f>MAX(0,AM30*(1-IF(Ansparphase!$BC$57=0,1,MIN(1,Ansparphase!$BD$57/Ansparphase!$BC$57)))*(1-Parameter!$C$37))*Parameter!$C$36</f>
        <v/>
      </c>
      <c r="AO30" s="40">
        <f>IF(Eingaben!$C$46=1,IF(F30=0,0,MIN(AJ30,Ansparphase!$BB$57*IF(22=0,Eingaben!$C$45,0)+(Ansparphase!$BB$57*(1-Eingaben!$C$45))*$CG$4)),Ansparphase!$BB$57*IF(22=0,Eingaben!$C$45,0))</f>
        <v/>
      </c>
      <c r="AP30" s="40">
        <f>IF(Eingaben!$C$46=1,0,(((Ansparphase!$BA$57*(1-Eingaben!$C$45))+(Ansparphase!$BB$57*(1-Eingaben!$C$45)))*Eingaben!$C$47/10000*12*(1+Eingaben!$C$48)^22*F30)*IF(((Ansparphase!$BA$57*(1-Eingaben!$C$45))+(Ansparphase!$BB$57*(1-Eingaben!$C$45)))=0,0,(Ansparphase!$BB$57*(1-Eingaben!$C$45))/((Ansparphase!$BA$57*(1-Eingaben!$C$45))+(Ansparphase!$BB$57*(1-Eingaben!$C$45)))))</f>
        <v/>
      </c>
      <c r="AQ30" s="40">
        <f>IF(AND(Eingaben!$C$46=2,F30=0),((Ansparphase!$BA$57*(1-Eingaben!$C$45))+(Ansparphase!$BB$57*(1-Eingaben!$C$45)))*Eingaben!$C$47/10000*12*(1+Eingaben!$C$48)^22,0)</f>
        <v/>
      </c>
      <c r="AR30" s="40">
        <f>AI30+AO30*(1-IF(Ansparphase!$BB$57=0,1,MIN(1,$CG$7/Ansparphase!$BB$57)))*Parameter!$C$52+AP30*Parameter!$C$51</f>
        <v/>
      </c>
      <c r="AS30" s="40">
        <f>MAX(0,G30+AR30)</f>
        <v/>
      </c>
      <c r="AT30" s="40">
        <f>MAX(0,(AS30+IF(Eingaben!$C$14=3,Eingaben!$C$15,0))/Parameter!$C$57/D30)</f>
        <v/>
      </c>
      <c r="AU30" s="40">
        <f>Parameter!$C$57*D30*(IF(AT30&lt;=Parameter!$C$18,0,IF(AT30&lt;=Parameter!$C$19,(Parameter!$C$22*(AT30-Parameter!$C$18)/10000+Parameter!$C$23)*(AT30-Parameter!$C$18)/10000,IF(AT30&lt;=Parameter!$C$20,(Parameter!$C$24*(AT30-Parameter!$C$19)/10000+Parameter!$C$25)*(AT30-Parameter!$C$19)/10000+Parameter!$C$26,IF(AT30&lt;=Parameter!$C$21,0.42*AT30-Parameter!$C$27,0.45*AT30-Parameter!$C$28)))))</f>
        <v/>
      </c>
      <c r="AV30" s="40">
        <f>AU30+IF(AU30&lt;=(Parameter!$C$30*Parameter!$C$57*D30),0,MIN(Parameter!$C$29*AU30,Parameter!$C$31*(AU30-(Parameter!$C$30*Parameter!$C$57*D30))))+Eingaben!$C$16*AU30</f>
        <v/>
      </c>
      <c r="AW30" s="40">
        <f>AI30+AK30-(AV30-J30)+AM30-AN30</f>
        <v/>
      </c>
      <c r="AX30" s="40">
        <f>MAX(0,(AX29-AZ29)*(1+Parameter!$C$62))</f>
        <v/>
      </c>
      <c r="AY30" s="40">
        <f>MAX(0,AY29-AY29*IF(AX29=0,0,AZ29/AX29))</f>
        <v/>
      </c>
      <c r="AZ30" s="40">
        <f>IF(F30=0,0,MIN(AX30,Ansparphase!$BG$57*$CG$5))</f>
        <v/>
      </c>
      <c r="BA30" s="40">
        <f>AZ30-IF(AX30=0,0,AY30*AZ30/AX30)</f>
        <v/>
      </c>
      <c r="BB30" s="40">
        <f>MAX(0,BA30*(1-Parameter!$C$37)-Parameter!$C$67)*Parameter!$C$36</f>
        <v/>
      </c>
      <c r="BC30" s="40">
        <f>AZ30-BB30</f>
        <v/>
      </c>
      <c r="BD30" s="38">
        <f>1/(1+Eingaben!$C$40)^C30</f>
        <v/>
      </c>
      <c r="BE30" s="40">
        <f>IF(AND(Eingaben!$C$31=2,F30=0),(Ansparphase!$AY$57+Ansparphase!$AZ$57)*Eingaben!$C$32/10000*12*(1+Eingaben!$C$33)^22,0)</f>
        <v/>
      </c>
      <c r="BF30" s="38">
        <f>1/(1+Parameter!$C$68)^22</f>
        <v/>
      </c>
    </row>
    <row r="31">
      <c r="A31" s="32">
        <f>2026+C31</f>
        <v/>
      </c>
      <c r="B31" s="32">
        <f>Eingaben!$C$6+23</f>
        <v/>
      </c>
      <c r="C31" s="32">
        <f>B31-Eingaben!$C$5</f>
        <v/>
      </c>
      <c r="D31" s="41">
        <f>(1+Eingaben!$C$17)^C31</f>
        <v/>
      </c>
      <c r="E31" s="41">
        <f>(1+Eingaben!$C$13)^C31</f>
        <v/>
      </c>
      <c r="F31" s="32">
        <f>IF(B31&lt;=Eingaben!$C$7,1,0)</f>
        <v/>
      </c>
      <c r="G31" s="43">
        <f>Eingaben!$C$43*(1+Eingaben!$C$40)^C31</f>
        <v/>
      </c>
      <c r="H31" s="43">
        <f>MAX(0,(G31+IF(Eingaben!$C$14=3,Eingaben!$C$15,0))/Parameter!$C$57/D31)</f>
        <v/>
      </c>
      <c r="I31" s="43">
        <f>Parameter!$C$57*D31*(IF(H31&lt;=Parameter!$C$18,0,IF(H31&lt;=Parameter!$C$19,(Parameter!$C$22*(H31-Parameter!$C$18)/10000+Parameter!$C$23)*(H31-Parameter!$C$18)/10000,IF(H31&lt;=Parameter!$C$20,(Parameter!$C$24*(H31-Parameter!$C$19)/10000+Parameter!$C$25)*(H31-Parameter!$C$19)/10000+Parameter!$C$26,IF(H31&lt;=Parameter!$C$21,0.42*H31-Parameter!$C$27,0.45*H31-Parameter!$C$28)))))</f>
        <v/>
      </c>
      <c r="J31" s="43">
        <f>I31+IF(I31&lt;=(Parameter!$C$30*Parameter!$C$57*D31),0,MIN(Parameter!$C$29*I31,Parameter!$C$31*(I31-(Parameter!$C$30*Parameter!$C$57*D31))))+Eingaben!$C$16*I31</f>
        <v/>
      </c>
      <c r="K31" s="43">
        <f>IF(Eingaben!$C$31=1,IF(0=1,Ansparphase!$AY$57,0),(Ansparphase!$AY$57+Ansparphase!$AZ$57)*Eingaben!$C$32/10000*12*(1+Eingaben!$C$33)^23*F31*IF((Ansparphase!$AY$57+Ansparphase!$AZ$57)=0,0,Ansparphase!$AY$57/(Ansparphase!$AY$57+Ansparphase!$AZ$57)))</f>
        <v/>
      </c>
      <c r="L31" s="43">
        <f>IF(Eingaben!$C$31=1,IF(0=1,Ansparphase!$AZ$57,0),(Ansparphase!$AY$57+Ansparphase!$AZ$57)*Eingaben!$C$32/10000*12*(1+Eingaben!$C$33)^23*F31*IF((Ansparphase!$AY$57+Ansparphase!$AZ$57)=0,0,Ansparphase!$AZ$57/(Ansparphase!$AY$57+Ansparphase!$AZ$57)))</f>
        <v/>
      </c>
      <c r="M31" s="43">
        <f>K31+L31</f>
        <v/>
      </c>
      <c r="N31" s="43">
        <f>K31+L31*IF(Eingaben!$C$31=1,(1-IF(Ansparphase!$AZ$57=0,1,MIN(1,$CG$8/Ansparphase!$AZ$57)))*Parameter!$C$52,Parameter!$C$51)</f>
        <v/>
      </c>
      <c r="O31" s="43">
        <f>IF(Eingaben!$C$31=1,IF(23&lt;10,(Ansparphase!$AY$57+Ansparphase!$AZ$57)/120,0),M31/12)</f>
        <v/>
      </c>
      <c r="P31" s="43">
        <f>Eingaben!$C$44/12*(1+Eingaben!$C$13)^C31</f>
        <v/>
      </c>
      <c r="Q31" s="43">
        <f>MAX(0,MIN(O31,Parameter!$C$5/12*E31-P31))</f>
        <v/>
      </c>
      <c r="R31" s="43">
        <f>IF(Eingaben!$C$42=2,0,MAX(0,Q31-Parameter!$C$7*E31)*Parameter!$C$54*12)</f>
        <v/>
      </c>
      <c r="S31" s="43">
        <f>IF(Eingaben!$C$42=2,0,IF(O31&gt;Parameter!$C$7*E31,Q31*Parameter!$C$59*12,0))</f>
        <v/>
      </c>
      <c r="T31" s="43">
        <f>R31+S31</f>
        <v/>
      </c>
      <c r="U31" s="43">
        <f>Ansparphase!$BL$57*Parameter!$C$9*12*(1+Eingaben!$C$13)^(Eingaben!$C$6-Eingaben!$C$5)*(1+Eingaben!$C$13)^23*F31</f>
        <v/>
      </c>
      <c r="V31" s="43">
        <f>U31*Parameter!$C$66</f>
        <v/>
      </c>
      <c r="W31" s="43">
        <f>IF(Eingaben!$C$42=2,0,U31*(Parameter!$C$53+Parameter!$C$59))</f>
        <v/>
      </c>
      <c r="X31" s="43">
        <f>MAX(0,G31-V31+N31-T31+W31)</f>
        <v/>
      </c>
      <c r="Y31" s="43">
        <f>MAX(0,(X31+IF(Eingaben!$C$14=3,Eingaben!$C$15,0))/Parameter!$C$57/D31)</f>
        <v/>
      </c>
      <c r="Z31" s="43">
        <f>Parameter!$C$57*D31*(IF(Y31&lt;=Parameter!$C$18,0,IF(Y31&lt;=Parameter!$C$19,(Parameter!$C$22*(Y31-Parameter!$C$18)/10000+Parameter!$C$23)*(Y31-Parameter!$C$18)/10000,IF(Y31&lt;=Parameter!$C$20,(Parameter!$C$24*(Y31-Parameter!$C$19)/10000+Parameter!$C$25)*(Y31-Parameter!$C$19)/10000+Parameter!$C$26,IF(Y31&lt;=Parameter!$C$21,0.42*Y31-Parameter!$C$27,0.45*Y31-Parameter!$C$28)))))</f>
        <v/>
      </c>
      <c r="AA31" s="43">
        <f>Z31+IF(Z31&lt;=(Parameter!$C$30*Parameter!$C$57*D31),0,MIN(Parameter!$C$29*Z31,Parameter!$C$31*(Z31-(Parameter!$C$30*Parameter!$C$57*D31))))+Eingaben!$C$16*Z31</f>
        <v/>
      </c>
      <c r="AB31" s="43">
        <f>MAX(0,G31-V31+N31/5-T31+W31)</f>
        <v/>
      </c>
      <c r="AC31" s="43">
        <f>MAX(0,(AB31+IF(Eingaben!$C$14=3,Eingaben!$C$15,0))/Parameter!$C$57/D31)</f>
        <v/>
      </c>
      <c r="AD31" s="43">
        <f>Parameter!$C$57*D31*(IF(AC31&lt;=Parameter!$C$18,0,IF(AC31&lt;=Parameter!$C$19,(Parameter!$C$22*(AC31-Parameter!$C$18)/10000+Parameter!$C$23)*(AC31-Parameter!$C$18)/10000,IF(AC31&lt;=Parameter!$C$20,(Parameter!$C$24*(AC31-Parameter!$C$19)/10000+Parameter!$C$25)*(AC31-Parameter!$C$19)/10000+Parameter!$C$26,IF(AC31&lt;=Parameter!$C$21,0.42*AC31-Parameter!$C$27,0.45*AC31-Parameter!$C$28)))))</f>
        <v/>
      </c>
      <c r="AE31" s="43">
        <f>AD31+IF(AD31&lt;=(Parameter!$C$30*Parameter!$C$57*D31),0,MIN(Parameter!$C$29*AD31,Parameter!$C$31*(AD31-(Parameter!$C$30*Parameter!$C$57*D31))))+Eingaben!$C$16*AD31</f>
        <v/>
      </c>
      <c r="AF31" s="43">
        <f>IF(AND(Eingaben!$C$34=1,Eingaben!$C$31=1,M31&gt;0),MIN(AA31-J31,5*(AE31-J31)),AA31-J31)</f>
        <v/>
      </c>
      <c r="AG31" s="43">
        <f>M31-T31-AF31-U31+W31</f>
        <v/>
      </c>
      <c r="AH31" s="43">
        <f>IF(Eingaben!$C$46=2,0,MAX(0,(AH30-AI30)*(1+Parameter!$C$61)))</f>
        <v/>
      </c>
      <c r="AI31" s="43">
        <f>IF(Eingaben!$C$46=1,IF(F31=0,0,MIN(AH31,Ansparphase!$BA$57*IF(23=0,Eingaben!$C$45,0)+(Ansparphase!$BA$57*(1-Eingaben!$C$45))*$CG$4)),Ansparphase!$BA$57*IF(23=0,Eingaben!$C$45,0)+(((Ansparphase!$BA$57*(1-Eingaben!$C$45))+(Ansparphase!$BB$57*(1-Eingaben!$C$45)))*Eingaben!$C$47/10000*12*(1+Eingaben!$C$48)^23*F31)*IF(((Ansparphase!$BA$57*(1-Eingaben!$C$45))+(Ansparphase!$BB$57*(1-Eingaben!$C$45)))=0,0,(Ansparphase!$BA$57*(1-Eingaben!$C$45))/((Ansparphase!$BA$57*(1-Eingaben!$C$45))+(Ansparphase!$BB$57*(1-Eingaben!$C$45)))))</f>
        <v/>
      </c>
      <c r="AJ31" s="43">
        <f>IF(Eingaben!$C$46=2,0,MAX(0,(AJ30-AK30)*(1+Parameter!$C$61)))</f>
        <v/>
      </c>
      <c r="AK31" s="43">
        <f>AO31+AP31</f>
        <v/>
      </c>
      <c r="AL31" s="43">
        <f>MAX(0,(AL30-AM30)*(1+Parameter!$C$62))</f>
        <v/>
      </c>
      <c r="AM31" s="43">
        <f>IF(F31=0,0,MIN(AL31,Ansparphase!$BC$57*$CG$5))</f>
        <v/>
      </c>
      <c r="AN31" s="43">
        <f>MAX(0,AM31*(1-IF(Ansparphase!$BC$57=0,1,MIN(1,Ansparphase!$BD$57/Ansparphase!$BC$57)))*(1-Parameter!$C$37))*Parameter!$C$36</f>
        <v/>
      </c>
      <c r="AO31" s="43">
        <f>IF(Eingaben!$C$46=1,IF(F31=0,0,MIN(AJ31,Ansparphase!$BB$57*IF(23=0,Eingaben!$C$45,0)+(Ansparphase!$BB$57*(1-Eingaben!$C$45))*$CG$4)),Ansparphase!$BB$57*IF(23=0,Eingaben!$C$45,0))</f>
        <v/>
      </c>
      <c r="AP31" s="43">
        <f>IF(Eingaben!$C$46=1,0,(((Ansparphase!$BA$57*(1-Eingaben!$C$45))+(Ansparphase!$BB$57*(1-Eingaben!$C$45)))*Eingaben!$C$47/10000*12*(1+Eingaben!$C$48)^23*F31)*IF(((Ansparphase!$BA$57*(1-Eingaben!$C$45))+(Ansparphase!$BB$57*(1-Eingaben!$C$45)))=0,0,(Ansparphase!$BB$57*(1-Eingaben!$C$45))/((Ansparphase!$BA$57*(1-Eingaben!$C$45))+(Ansparphase!$BB$57*(1-Eingaben!$C$45)))))</f>
        <v/>
      </c>
      <c r="AQ31" s="43">
        <f>IF(AND(Eingaben!$C$46=2,F31=0),((Ansparphase!$BA$57*(1-Eingaben!$C$45))+(Ansparphase!$BB$57*(1-Eingaben!$C$45)))*Eingaben!$C$47/10000*12*(1+Eingaben!$C$48)^23,0)</f>
        <v/>
      </c>
      <c r="AR31" s="43">
        <f>AI31+AO31*(1-IF(Ansparphase!$BB$57=0,1,MIN(1,$CG$7/Ansparphase!$BB$57)))*Parameter!$C$52+AP31*Parameter!$C$51</f>
        <v/>
      </c>
      <c r="AS31" s="43">
        <f>MAX(0,G31+AR31)</f>
        <v/>
      </c>
      <c r="AT31" s="43">
        <f>MAX(0,(AS31+IF(Eingaben!$C$14=3,Eingaben!$C$15,0))/Parameter!$C$57/D31)</f>
        <v/>
      </c>
      <c r="AU31" s="43">
        <f>Parameter!$C$57*D31*(IF(AT31&lt;=Parameter!$C$18,0,IF(AT31&lt;=Parameter!$C$19,(Parameter!$C$22*(AT31-Parameter!$C$18)/10000+Parameter!$C$23)*(AT31-Parameter!$C$18)/10000,IF(AT31&lt;=Parameter!$C$20,(Parameter!$C$24*(AT31-Parameter!$C$19)/10000+Parameter!$C$25)*(AT31-Parameter!$C$19)/10000+Parameter!$C$26,IF(AT31&lt;=Parameter!$C$21,0.42*AT31-Parameter!$C$27,0.45*AT31-Parameter!$C$28)))))</f>
        <v/>
      </c>
      <c r="AV31" s="43">
        <f>AU31+IF(AU31&lt;=(Parameter!$C$30*Parameter!$C$57*D31),0,MIN(Parameter!$C$29*AU31,Parameter!$C$31*(AU31-(Parameter!$C$30*Parameter!$C$57*D31))))+Eingaben!$C$16*AU31</f>
        <v/>
      </c>
      <c r="AW31" s="43">
        <f>AI31+AK31-(AV31-J31)+AM31-AN31</f>
        <v/>
      </c>
      <c r="AX31" s="43">
        <f>MAX(0,(AX30-AZ30)*(1+Parameter!$C$62))</f>
        <v/>
      </c>
      <c r="AY31" s="43">
        <f>MAX(0,AY30-AY30*IF(AX30=0,0,AZ30/AX30))</f>
        <v/>
      </c>
      <c r="AZ31" s="43">
        <f>IF(F31=0,0,MIN(AX31,Ansparphase!$BG$57*$CG$5))</f>
        <v/>
      </c>
      <c r="BA31" s="43">
        <f>AZ31-IF(AX31=0,0,AY31*AZ31/AX31)</f>
        <v/>
      </c>
      <c r="BB31" s="43">
        <f>MAX(0,BA31*(1-Parameter!$C$37)-Parameter!$C$67)*Parameter!$C$36</f>
        <v/>
      </c>
      <c r="BC31" s="43">
        <f>AZ31-BB31</f>
        <v/>
      </c>
      <c r="BD31" s="41">
        <f>1/(1+Eingaben!$C$40)^C31</f>
        <v/>
      </c>
      <c r="BE31" s="43">
        <f>IF(AND(Eingaben!$C$31=2,F31=0),(Ansparphase!$AY$57+Ansparphase!$AZ$57)*Eingaben!$C$32/10000*12*(1+Eingaben!$C$33)^23,0)</f>
        <v/>
      </c>
      <c r="BF31" s="41">
        <f>1/(1+Parameter!$C$68)^23</f>
        <v/>
      </c>
    </row>
    <row r="32">
      <c r="A32" s="30">
        <f>2026+C32</f>
        <v/>
      </c>
      <c r="B32" s="30">
        <f>Eingaben!$C$6+24</f>
        <v/>
      </c>
      <c r="C32" s="30">
        <f>B32-Eingaben!$C$5</f>
        <v/>
      </c>
      <c r="D32" s="38">
        <f>(1+Eingaben!$C$17)^C32</f>
        <v/>
      </c>
      <c r="E32" s="38">
        <f>(1+Eingaben!$C$13)^C32</f>
        <v/>
      </c>
      <c r="F32" s="30">
        <f>IF(B32&lt;=Eingaben!$C$7,1,0)</f>
        <v/>
      </c>
      <c r="G32" s="40">
        <f>Eingaben!$C$43*(1+Eingaben!$C$40)^C32</f>
        <v/>
      </c>
      <c r="H32" s="40">
        <f>MAX(0,(G32+IF(Eingaben!$C$14=3,Eingaben!$C$15,0))/Parameter!$C$57/D32)</f>
        <v/>
      </c>
      <c r="I32" s="40">
        <f>Parameter!$C$57*D32*(IF(H32&lt;=Parameter!$C$18,0,IF(H32&lt;=Parameter!$C$19,(Parameter!$C$22*(H32-Parameter!$C$18)/10000+Parameter!$C$23)*(H32-Parameter!$C$18)/10000,IF(H32&lt;=Parameter!$C$20,(Parameter!$C$24*(H32-Parameter!$C$19)/10000+Parameter!$C$25)*(H32-Parameter!$C$19)/10000+Parameter!$C$26,IF(H32&lt;=Parameter!$C$21,0.42*H32-Parameter!$C$27,0.45*H32-Parameter!$C$28)))))</f>
        <v/>
      </c>
      <c r="J32" s="40">
        <f>I32+IF(I32&lt;=(Parameter!$C$30*Parameter!$C$57*D32),0,MIN(Parameter!$C$29*I32,Parameter!$C$31*(I32-(Parameter!$C$30*Parameter!$C$57*D32))))+Eingaben!$C$16*I32</f>
        <v/>
      </c>
      <c r="K32" s="40">
        <f>IF(Eingaben!$C$31=1,IF(0=1,Ansparphase!$AY$57,0),(Ansparphase!$AY$57+Ansparphase!$AZ$57)*Eingaben!$C$32/10000*12*(1+Eingaben!$C$33)^24*F32*IF((Ansparphase!$AY$57+Ansparphase!$AZ$57)=0,0,Ansparphase!$AY$57/(Ansparphase!$AY$57+Ansparphase!$AZ$57)))</f>
        <v/>
      </c>
      <c r="L32" s="40">
        <f>IF(Eingaben!$C$31=1,IF(0=1,Ansparphase!$AZ$57,0),(Ansparphase!$AY$57+Ansparphase!$AZ$57)*Eingaben!$C$32/10000*12*(1+Eingaben!$C$33)^24*F32*IF((Ansparphase!$AY$57+Ansparphase!$AZ$57)=0,0,Ansparphase!$AZ$57/(Ansparphase!$AY$57+Ansparphase!$AZ$57)))</f>
        <v/>
      </c>
      <c r="M32" s="40">
        <f>K32+L32</f>
        <v/>
      </c>
      <c r="N32" s="40">
        <f>K32+L32*IF(Eingaben!$C$31=1,(1-IF(Ansparphase!$AZ$57=0,1,MIN(1,$CG$8/Ansparphase!$AZ$57)))*Parameter!$C$52,Parameter!$C$51)</f>
        <v/>
      </c>
      <c r="O32" s="40">
        <f>IF(Eingaben!$C$31=1,IF(24&lt;10,(Ansparphase!$AY$57+Ansparphase!$AZ$57)/120,0),M32/12)</f>
        <v/>
      </c>
      <c r="P32" s="40">
        <f>Eingaben!$C$44/12*(1+Eingaben!$C$13)^C32</f>
        <v/>
      </c>
      <c r="Q32" s="40">
        <f>MAX(0,MIN(O32,Parameter!$C$5/12*E32-P32))</f>
        <v/>
      </c>
      <c r="R32" s="40">
        <f>IF(Eingaben!$C$42=2,0,MAX(0,Q32-Parameter!$C$7*E32)*Parameter!$C$54*12)</f>
        <v/>
      </c>
      <c r="S32" s="40">
        <f>IF(Eingaben!$C$42=2,0,IF(O32&gt;Parameter!$C$7*E32,Q32*Parameter!$C$59*12,0))</f>
        <v/>
      </c>
      <c r="T32" s="40">
        <f>R32+S32</f>
        <v/>
      </c>
      <c r="U32" s="40">
        <f>Ansparphase!$BL$57*Parameter!$C$9*12*(1+Eingaben!$C$13)^(Eingaben!$C$6-Eingaben!$C$5)*(1+Eingaben!$C$13)^24*F32</f>
        <v/>
      </c>
      <c r="V32" s="40">
        <f>U32*Parameter!$C$66</f>
        <v/>
      </c>
      <c r="W32" s="40">
        <f>IF(Eingaben!$C$42=2,0,U32*(Parameter!$C$53+Parameter!$C$59))</f>
        <v/>
      </c>
      <c r="X32" s="40">
        <f>MAX(0,G32-V32+N32-T32+W32)</f>
        <v/>
      </c>
      <c r="Y32" s="40">
        <f>MAX(0,(X32+IF(Eingaben!$C$14=3,Eingaben!$C$15,0))/Parameter!$C$57/D32)</f>
        <v/>
      </c>
      <c r="Z32" s="40">
        <f>Parameter!$C$57*D32*(IF(Y32&lt;=Parameter!$C$18,0,IF(Y32&lt;=Parameter!$C$19,(Parameter!$C$22*(Y32-Parameter!$C$18)/10000+Parameter!$C$23)*(Y32-Parameter!$C$18)/10000,IF(Y32&lt;=Parameter!$C$20,(Parameter!$C$24*(Y32-Parameter!$C$19)/10000+Parameter!$C$25)*(Y32-Parameter!$C$19)/10000+Parameter!$C$26,IF(Y32&lt;=Parameter!$C$21,0.42*Y32-Parameter!$C$27,0.45*Y32-Parameter!$C$28)))))</f>
        <v/>
      </c>
      <c r="AA32" s="40">
        <f>Z32+IF(Z32&lt;=(Parameter!$C$30*Parameter!$C$57*D32),0,MIN(Parameter!$C$29*Z32,Parameter!$C$31*(Z32-(Parameter!$C$30*Parameter!$C$57*D32))))+Eingaben!$C$16*Z32</f>
        <v/>
      </c>
      <c r="AB32" s="40">
        <f>MAX(0,G32-V32+N32/5-T32+W32)</f>
        <v/>
      </c>
      <c r="AC32" s="40">
        <f>MAX(0,(AB32+IF(Eingaben!$C$14=3,Eingaben!$C$15,0))/Parameter!$C$57/D32)</f>
        <v/>
      </c>
      <c r="AD32" s="40">
        <f>Parameter!$C$57*D32*(IF(AC32&lt;=Parameter!$C$18,0,IF(AC32&lt;=Parameter!$C$19,(Parameter!$C$22*(AC32-Parameter!$C$18)/10000+Parameter!$C$23)*(AC32-Parameter!$C$18)/10000,IF(AC32&lt;=Parameter!$C$20,(Parameter!$C$24*(AC32-Parameter!$C$19)/10000+Parameter!$C$25)*(AC32-Parameter!$C$19)/10000+Parameter!$C$26,IF(AC32&lt;=Parameter!$C$21,0.42*AC32-Parameter!$C$27,0.45*AC32-Parameter!$C$28)))))</f>
        <v/>
      </c>
      <c r="AE32" s="40">
        <f>AD32+IF(AD32&lt;=(Parameter!$C$30*Parameter!$C$57*D32),0,MIN(Parameter!$C$29*AD32,Parameter!$C$31*(AD32-(Parameter!$C$30*Parameter!$C$57*D32))))+Eingaben!$C$16*AD32</f>
        <v/>
      </c>
      <c r="AF32" s="40">
        <f>IF(AND(Eingaben!$C$34=1,Eingaben!$C$31=1,M32&gt;0),MIN(AA32-J32,5*(AE32-J32)),AA32-J32)</f>
        <v/>
      </c>
      <c r="AG32" s="40">
        <f>M32-T32-AF32-U32+W32</f>
        <v/>
      </c>
      <c r="AH32" s="40">
        <f>IF(Eingaben!$C$46=2,0,MAX(0,(AH31-AI31)*(1+Parameter!$C$61)))</f>
        <v/>
      </c>
      <c r="AI32" s="40">
        <f>IF(Eingaben!$C$46=1,IF(F32=0,0,MIN(AH32,Ansparphase!$BA$57*IF(24=0,Eingaben!$C$45,0)+(Ansparphase!$BA$57*(1-Eingaben!$C$45))*$CG$4)),Ansparphase!$BA$57*IF(24=0,Eingaben!$C$45,0)+(((Ansparphase!$BA$57*(1-Eingaben!$C$45))+(Ansparphase!$BB$57*(1-Eingaben!$C$45)))*Eingaben!$C$47/10000*12*(1+Eingaben!$C$48)^24*F32)*IF(((Ansparphase!$BA$57*(1-Eingaben!$C$45))+(Ansparphase!$BB$57*(1-Eingaben!$C$45)))=0,0,(Ansparphase!$BA$57*(1-Eingaben!$C$45))/((Ansparphase!$BA$57*(1-Eingaben!$C$45))+(Ansparphase!$BB$57*(1-Eingaben!$C$45)))))</f>
        <v/>
      </c>
      <c r="AJ32" s="40">
        <f>IF(Eingaben!$C$46=2,0,MAX(0,(AJ31-AK31)*(1+Parameter!$C$61)))</f>
        <v/>
      </c>
      <c r="AK32" s="40">
        <f>AO32+AP32</f>
        <v/>
      </c>
      <c r="AL32" s="40">
        <f>MAX(0,(AL31-AM31)*(1+Parameter!$C$62))</f>
        <v/>
      </c>
      <c r="AM32" s="40">
        <f>IF(F32=0,0,MIN(AL32,Ansparphase!$BC$57*$CG$5))</f>
        <v/>
      </c>
      <c r="AN32" s="40">
        <f>MAX(0,AM32*(1-IF(Ansparphase!$BC$57=0,1,MIN(1,Ansparphase!$BD$57/Ansparphase!$BC$57)))*(1-Parameter!$C$37))*Parameter!$C$36</f>
        <v/>
      </c>
      <c r="AO32" s="40">
        <f>IF(Eingaben!$C$46=1,IF(F32=0,0,MIN(AJ32,Ansparphase!$BB$57*IF(24=0,Eingaben!$C$45,0)+(Ansparphase!$BB$57*(1-Eingaben!$C$45))*$CG$4)),Ansparphase!$BB$57*IF(24=0,Eingaben!$C$45,0))</f>
        <v/>
      </c>
      <c r="AP32" s="40">
        <f>IF(Eingaben!$C$46=1,0,(((Ansparphase!$BA$57*(1-Eingaben!$C$45))+(Ansparphase!$BB$57*(1-Eingaben!$C$45)))*Eingaben!$C$47/10000*12*(1+Eingaben!$C$48)^24*F32)*IF(((Ansparphase!$BA$57*(1-Eingaben!$C$45))+(Ansparphase!$BB$57*(1-Eingaben!$C$45)))=0,0,(Ansparphase!$BB$57*(1-Eingaben!$C$45))/((Ansparphase!$BA$57*(1-Eingaben!$C$45))+(Ansparphase!$BB$57*(1-Eingaben!$C$45)))))</f>
        <v/>
      </c>
      <c r="AQ32" s="40">
        <f>IF(AND(Eingaben!$C$46=2,F32=0),((Ansparphase!$BA$57*(1-Eingaben!$C$45))+(Ansparphase!$BB$57*(1-Eingaben!$C$45)))*Eingaben!$C$47/10000*12*(1+Eingaben!$C$48)^24,0)</f>
        <v/>
      </c>
      <c r="AR32" s="40">
        <f>AI32+AO32*(1-IF(Ansparphase!$BB$57=0,1,MIN(1,$CG$7/Ansparphase!$BB$57)))*Parameter!$C$52+AP32*Parameter!$C$51</f>
        <v/>
      </c>
      <c r="AS32" s="40">
        <f>MAX(0,G32+AR32)</f>
        <v/>
      </c>
      <c r="AT32" s="40">
        <f>MAX(0,(AS32+IF(Eingaben!$C$14=3,Eingaben!$C$15,0))/Parameter!$C$57/D32)</f>
        <v/>
      </c>
      <c r="AU32" s="40">
        <f>Parameter!$C$57*D32*(IF(AT32&lt;=Parameter!$C$18,0,IF(AT32&lt;=Parameter!$C$19,(Parameter!$C$22*(AT32-Parameter!$C$18)/10000+Parameter!$C$23)*(AT32-Parameter!$C$18)/10000,IF(AT32&lt;=Parameter!$C$20,(Parameter!$C$24*(AT32-Parameter!$C$19)/10000+Parameter!$C$25)*(AT32-Parameter!$C$19)/10000+Parameter!$C$26,IF(AT32&lt;=Parameter!$C$21,0.42*AT32-Parameter!$C$27,0.45*AT32-Parameter!$C$28)))))</f>
        <v/>
      </c>
      <c r="AV32" s="40">
        <f>AU32+IF(AU32&lt;=(Parameter!$C$30*Parameter!$C$57*D32),0,MIN(Parameter!$C$29*AU32,Parameter!$C$31*(AU32-(Parameter!$C$30*Parameter!$C$57*D32))))+Eingaben!$C$16*AU32</f>
        <v/>
      </c>
      <c r="AW32" s="40">
        <f>AI32+AK32-(AV32-J32)+AM32-AN32</f>
        <v/>
      </c>
      <c r="AX32" s="40">
        <f>MAX(0,(AX31-AZ31)*(1+Parameter!$C$62))</f>
        <v/>
      </c>
      <c r="AY32" s="40">
        <f>MAX(0,AY31-AY31*IF(AX31=0,0,AZ31/AX31))</f>
        <v/>
      </c>
      <c r="AZ32" s="40">
        <f>IF(F32=0,0,MIN(AX32,Ansparphase!$BG$57*$CG$5))</f>
        <v/>
      </c>
      <c r="BA32" s="40">
        <f>AZ32-IF(AX32=0,0,AY32*AZ32/AX32)</f>
        <v/>
      </c>
      <c r="BB32" s="40">
        <f>MAX(0,BA32*(1-Parameter!$C$37)-Parameter!$C$67)*Parameter!$C$36</f>
        <v/>
      </c>
      <c r="BC32" s="40">
        <f>AZ32-BB32</f>
        <v/>
      </c>
      <c r="BD32" s="38">
        <f>1/(1+Eingaben!$C$40)^C32</f>
        <v/>
      </c>
      <c r="BE32" s="40">
        <f>IF(AND(Eingaben!$C$31=2,F32=0),(Ansparphase!$AY$57+Ansparphase!$AZ$57)*Eingaben!$C$32/10000*12*(1+Eingaben!$C$33)^24,0)</f>
        <v/>
      </c>
      <c r="BF32" s="38">
        <f>1/(1+Parameter!$C$68)^24</f>
        <v/>
      </c>
    </row>
    <row r="33">
      <c r="A33" s="32">
        <f>2026+C33</f>
        <v/>
      </c>
      <c r="B33" s="32">
        <f>Eingaben!$C$6+25</f>
        <v/>
      </c>
      <c r="C33" s="32">
        <f>B33-Eingaben!$C$5</f>
        <v/>
      </c>
      <c r="D33" s="41">
        <f>(1+Eingaben!$C$17)^C33</f>
        <v/>
      </c>
      <c r="E33" s="41">
        <f>(1+Eingaben!$C$13)^C33</f>
        <v/>
      </c>
      <c r="F33" s="32">
        <f>IF(B33&lt;=Eingaben!$C$7,1,0)</f>
        <v/>
      </c>
      <c r="G33" s="43">
        <f>Eingaben!$C$43*(1+Eingaben!$C$40)^C33</f>
        <v/>
      </c>
      <c r="H33" s="43">
        <f>MAX(0,(G33+IF(Eingaben!$C$14=3,Eingaben!$C$15,0))/Parameter!$C$57/D33)</f>
        <v/>
      </c>
      <c r="I33" s="43">
        <f>Parameter!$C$57*D33*(IF(H33&lt;=Parameter!$C$18,0,IF(H33&lt;=Parameter!$C$19,(Parameter!$C$22*(H33-Parameter!$C$18)/10000+Parameter!$C$23)*(H33-Parameter!$C$18)/10000,IF(H33&lt;=Parameter!$C$20,(Parameter!$C$24*(H33-Parameter!$C$19)/10000+Parameter!$C$25)*(H33-Parameter!$C$19)/10000+Parameter!$C$26,IF(H33&lt;=Parameter!$C$21,0.42*H33-Parameter!$C$27,0.45*H33-Parameter!$C$28)))))</f>
        <v/>
      </c>
      <c r="J33" s="43">
        <f>I33+IF(I33&lt;=(Parameter!$C$30*Parameter!$C$57*D33),0,MIN(Parameter!$C$29*I33,Parameter!$C$31*(I33-(Parameter!$C$30*Parameter!$C$57*D33))))+Eingaben!$C$16*I33</f>
        <v/>
      </c>
      <c r="K33" s="43">
        <f>IF(Eingaben!$C$31=1,IF(0=1,Ansparphase!$AY$57,0),(Ansparphase!$AY$57+Ansparphase!$AZ$57)*Eingaben!$C$32/10000*12*(1+Eingaben!$C$33)^25*F33*IF((Ansparphase!$AY$57+Ansparphase!$AZ$57)=0,0,Ansparphase!$AY$57/(Ansparphase!$AY$57+Ansparphase!$AZ$57)))</f>
        <v/>
      </c>
      <c r="L33" s="43">
        <f>IF(Eingaben!$C$31=1,IF(0=1,Ansparphase!$AZ$57,0),(Ansparphase!$AY$57+Ansparphase!$AZ$57)*Eingaben!$C$32/10000*12*(1+Eingaben!$C$33)^25*F33*IF((Ansparphase!$AY$57+Ansparphase!$AZ$57)=0,0,Ansparphase!$AZ$57/(Ansparphase!$AY$57+Ansparphase!$AZ$57)))</f>
        <v/>
      </c>
      <c r="M33" s="43">
        <f>K33+L33</f>
        <v/>
      </c>
      <c r="N33" s="43">
        <f>K33+L33*IF(Eingaben!$C$31=1,(1-IF(Ansparphase!$AZ$57=0,1,MIN(1,$CG$8/Ansparphase!$AZ$57)))*Parameter!$C$52,Parameter!$C$51)</f>
        <v/>
      </c>
      <c r="O33" s="43">
        <f>IF(Eingaben!$C$31=1,IF(25&lt;10,(Ansparphase!$AY$57+Ansparphase!$AZ$57)/120,0),M33/12)</f>
        <v/>
      </c>
      <c r="P33" s="43">
        <f>Eingaben!$C$44/12*(1+Eingaben!$C$13)^C33</f>
        <v/>
      </c>
      <c r="Q33" s="43">
        <f>MAX(0,MIN(O33,Parameter!$C$5/12*E33-P33))</f>
        <v/>
      </c>
      <c r="R33" s="43">
        <f>IF(Eingaben!$C$42=2,0,MAX(0,Q33-Parameter!$C$7*E33)*Parameter!$C$54*12)</f>
        <v/>
      </c>
      <c r="S33" s="43">
        <f>IF(Eingaben!$C$42=2,0,IF(O33&gt;Parameter!$C$7*E33,Q33*Parameter!$C$59*12,0))</f>
        <v/>
      </c>
      <c r="T33" s="43">
        <f>R33+S33</f>
        <v/>
      </c>
      <c r="U33" s="43">
        <f>Ansparphase!$BL$57*Parameter!$C$9*12*(1+Eingaben!$C$13)^(Eingaben!$C$6-Eingaben!$C$5)*(1+Eingaben!$C$13)^25*F33</f>
        <v/>
      </c>
      <c r="V33" s="43">
        <f>U33*Parameter!$C$66</f>
        <v/>
      </c>
      <c r="W33" s="43">
        <f>IF(Eingaben!$C$42=2,0,U33*(Parameter!$C$53+Parameter!$C$59))</f>
        <v/>
      </c>
      <c r="X33" s="43">
        <f>MAX(0,G33-V33+N33-T33+W33)</f>
        <v/>
      </c>
      <c r="Y33" s="43">
        <f>MAX(0,(X33+IF(Eingaben!$C$14=3,Eingaben!$C$15,0))/Parameter!$C$57/D33)</f>
        <v/>
      </c>
      <c r="Z33" s="43">
        <f>Parameter!$C$57*D33*(IF(Y33&lt;=Parameter!$C$18,0,IF(Y33&lt;=Parameter!$C$19,(Parameter!$C$22*(Y33-Parameter!$C$18)/10000+Parameter!$C$23)*(Y33-Parameter!$C$18)/10000,IF(Y33&lt;=Parameter!$C$20,(Parameter!$C$24*(Y33-Parameter!$C$19)/10000+Parameter!$C$25)*(Y33-Parameter!$C$19)/10000+Parameter!$C$26,IF(Y33&lt;=Parameter!$C$21,0.42*Y33-Parameter!$C$27,0.45*Y33-Parameter!$C$28)))))</f>
        <v/>
      </c>
      <c r="AA33" s="43">
        <f>Z33+IF(Z33&lt;=(Parameter!$C$30*Parameter!$C$57*D33),0,MIN(Parameter!$C$29*Z33,Parameter!$C$31*(Z33-(Parameter!$C$30*Parameter!$C$57*D33))))+Eingaben!$C$16*Z33</f>
        <v/>
      </c>
      <c r="AB33" s="43">
        <f>MAX(0,G33-V33+N33/5-T33+W33)</f>
        <v/>
      </c>
      <c r="AC33" s="43">
        <f>MAX(0,(AB33+IF(Eingaben!$C$14=3,Eingaben!$C$15,0))/Parameter!$C$57/D33)</f>
        <v/>
      </c>
      <c r="AD33" s="43">
        <f>Parameter!$C$57*D33*(IF(AC33&lt;=Parameter!$C$18,0,IF(AC33&lt;=Parameter!$C$19,(Parameter!$C$22*(AC33-Parameter!$C$18)/10000+Parameter!$C$23)*(AC33-Parameter!$C$18)/10000,IF(AC33&lt;=Parameter!$C$20,(Parameter!$C$24*(AC33-Parameter!$C$19)/10000+Parameter!$C$25)*(AC33-Parameter!$C$19)/10000+Parameter!$C$26,IF(AC33&lt;=Parameter!$C$21,0.42*AC33-Parameter!$C$27,0.45*AC33-Parameter!$C$28)))))</f>
        <v/>
      </c>
      <c r="AE33" s="43">
        <f>AD33+IF(AD33&lt;=(Parameter!$C$30*Parameter!$C$57*D33),0,MIN(Parameter!$C$29*AD33,Parameter!$C$31*(AD33-(Parameter!$C$30*Parameter!$C$57*D33))))+Eingaben!$C$16*AD33</f>
        <v/>
      </c>
      <c r="AF33" s="43">
        <f>IF(AND(Eingaben!$C$34=1,Eingaben!$C$31=1,M33&gt;0),MIN(AA33-J33,5*(AE33-J33)),AA33-J33)</f>
        <v/>
      </c>
      <c r="AG33" s="43">
        <f>M33-T33-AF33-U33+W33</f>
        <v/>
      </c>
      <c r="AH33" s="43">
        <f>IF(Eingaben!$C$46=2,0,MAX(0,(AH32-AI32)*(1+Parameter!$C$61)))</f>
        <v/>
      </c>
      <c r="AI33" s="43">
        <f>IF(Eingaben!$C$46=1,IF(F33=0,0,MIN(AH33,Ansparphase!$BA$57*IF(25=0,Eingaben!$C$45,0)+(Ansparphase!$BA$57*(1-Eingaben!$C$45))*$CG$4)),Ansparphase!$BA$57*IF(25=0,Eingaben!$C$45,0)+(((Ansparphase!$BA$57*(1-Eingaben!$C$45))+(Ansparphase!$BB$57*(1-Eingaben!$C$45)))*Eingaben!$C$47/10000*12*(1+Eingaben!$C$48)^25*F33)*IF(((Ansparphase!$BA$57*(1-Eingaben!$C$45))+(Ansparphase!$BB$57*(1-Eingaben!$C$45)))=0,0,(Ansparphase!$BA$57*(1-Eingaben!$C$45))/((Ansparphase!$BA$57*(1-Eingaben!$C$45))+(Ansparphase!$BB$57*(1-Eingaben!$C$45)))))</f>
        <v/>
      </c>
      <c r="AJ33" s="43">
        <f>IF(Eingaben!$C$46=2,0,MAX(0,(AJ32-AK32)*(1+Parameter!$C$61)))</f>
        <v/>
      </c>
      <c r="AK33" s="43">
        <f>AO33+AP33</f>
        <v/>
      </c>
      <c r="AL33" s="43">
        <f>MAX(0,(AL32-AM32)*(1+Parameter!$C$62))</f>
        <v/>
      </c>
      <c r="AM33" s="43">
        <f>IF(F33=0,0,MIN(AL33,Ansparphase!$BC$57*$CG$5))</f>
        <v/>
      </c>
      <c r="AN33" s="43">
        <f>MAX(0,AM33*(1-IF(Ansparphase!$BC$57=0,1,MIN(1,Ansparphase!$BD$57/Ansparphase!$BC$57)))*(1-Parameter!$C$37))*Parameter!$C$36</f>
        <v/>
      </c>
      <c r="AO33" s="43">
        <f>IF(Eingaben!$C$46=1,IF(F33=0,0,MIN(AJ33,Ansparphase!$BB$57*IF(25=0,Eingaben!$C$45,0)+(Ansparphase!$BB$57*(1-Eingaben!$C$45))*$CG$4)),Ansparphase!$BB$57*IF(25=0,Eingaben!$C$45,0))</f>
        <v/>
      </c>
      <c r="AP33" s="43">
        <f>IF(Eingaben!$C$46=1,0,(((Ansparphase!$BA$57*(1-Eingaben!$C$45))+(Ansparphase!$BB$57*(1-Eingaben!$C$45)))*Eingaben!$C$47/10000*12*(1+Eingaben!$C$48)^25*F33)*IF(((Ansparphase!$BA$57*(1-Eingaben!$C$45))+(Ansparphase!$BB$57*(1-Eingaben!$C$45)))=0,0,(Ansparphase!$BB$57*(1-Eingaben!$C$45))/((Ansparphase!$BA$57*(1-Eingaben!$C$45))+(Ansparphase!$BB$57*(1-Eingaben!$C$45)))))</f>
        <v/>
      </c>
      <c r="AQ33" s="43">
        <f>IF(AND(Eingaben!$C$46=2,F33=0),((Ansparphase!$BA$57*(1-Eingaben!$C$45))+(Ansparphase!$BB$57*(1-Eingaben!$C$45)))*Eingaben!$C$47/10000*12*(1+Eingaben!$C$48)^25,0)</f>
        <v/>
      </c>
      <c r="AR33" s="43">
        <f>AI33+AO33*(1-IF(Ansparphase!$BB$57=0,1,MIN(1,$CG$7/Ansparphase!$BB$57)))*Parameter!$C$52+AP33*Parameter!$C$51</f>
        <v/>
      </c>
      <c r="AS33" s="43">
        <f>MAX(0,G33+AR33)</f>
        <v/>
      </c>
      <c r="AT33" s="43">
        <f>MAX(0,(AS33+IF(Eingaben!$C$14=3,Eingaben!$C$15,0))/Parameter!$C$57/D33)</f>
        <v/>
      </c>
      <c r="AU33" s="43">
        <f>Parameter!$C$57*D33*(IF(AT33&lt;=Parameter!$C$18,0,IF(AT33&lt;=Parameter!$C$19,(Parameter!$C$22*(AT33-Parameter!$C$18)/10000+Parameter!$C$23)*(AT33-Parameter!$C$18)/10000,IF(AT33&lt;=Parameter!$C$20,(Parameter!$C$24*(AT33-Parameter!$C$19)/10000+Parameter!$C$25)*(AT33-Parameter!$C$19)/10000+Parameter!$C$26,IF(AT33&lt;=Parameter!$C$21,0.42*AT33-Parameter!$C$27,0.45*AT33-Parameter!$C$28)))))</f>
        <v/>
      </c>
      <c r="AV33" s="43">
        <f>AU33+IF(AU33&lt;=(Parameter!$C$30*Parameter!$C$57*D33),0,MIN(Parameter!$C$29*AU33,Parameter!$C$31*(AU33-(Parameter!$C$30*Parameter!$C$57*D33))))+Eingaben!$C$16*AU33</f>
        <v/>
      </c>
      <c r="AW33" s="43">
        <f>AI33+AK33-(AV33-J33)+AM33-AN33</f>
        <v/>
      </c>
      <c r="AX33" s="43">
        <f>MAX(0,(AX32-AZ32)*(1+Parameter!$C$62))</f>
        <v/>
      </c>
      <c r="AY33" s="43">
        <f>MAX(0,AY32-AY32*IF(AX32=0,0,AZ32/AX32))</f>
        <v/>
      </c>
      <c r="AZ33" s="43">
        <f>IF(F33=0,0,MIN(AX33,Ansparphase!$BG$57*$CG$5))</f>
        <v/>
      </c>
      <c r="BA33" s="43">
        <f>AZ33-IF(AX33=0,0,AY33*AZ33/AX33)</f>
        <v/>
      </c>
      <c r="BB33" s="43">
        <f>MAX(0,BA33*(1-Parameter!$C$37)-Parameter!$C$67)*Parameter!$C$36</f>
        <v/>
      </c>
      <c r="BC33" s="43">
        <f>AZ33-BB33</f>
        <v/>
      </c>
      <c r="BD33" s="41">
        <f>1/(1+Eingaben!$C$40)^C33</f>
        <v/>
      </c>
      <c r="BE33" s="43">
        <f>IF(AND(Eingaben!$C$31=2,F33=0),(Ansparphase!$AY$57+Ansparphase!$AZ$57)*Eingaben!$C$32/10000*12*(1+Eingaben!$C$33)^25,0)</f>
        <v/>
      </c>
      <c r="BF33" s="41">
        <f>1/(1+Parameter!$C$68)^25</f>
        <v/>
      </c>
    </row>
    <row r="34">
      <c r="A34" s="30">
        <f>2026+C34</f>
        <v/>
      </c>
      <c r="B34" s="30">
        <f>Eingaben!$C$6+26</f>
        <v/>
      </c>
      <c r="C34" s="30">
        <f>B34-Eingaben!$C$5</f>
        <v/>
      </c>
      <c r="D34" s="38">
        <f>(1+Eingaben!$C$17)^C34</f>
        <v/>
      </c>
      <c r="E34" s="38">
        <f>(1+Eingaben!$C$13)^C34</f>
        <v/>
      </c>
      <c r="F34" s="30">
        <f>IF(B34&lt;=Eingaben!$C$7,1,0)</f>
        <v/>
      </c>
      <c r="G34" s="40">
        <f>Eingaben!$C$43*(1+Eingaben!$C$40)^C34</f>
        <v/>
      </c>
      <c r="H34" s="40">
        <f>MAX(0,(G34+IF(Eingaben!$C$14=3,Eingaben!$C$15,0))/Parameter!$C$57/D34)</f>
        <v/>
      </c>
      <c r="I34" s="40">
        <f>Parameter!$C$57*D34*(IF(H34&lt;=Parameter!$C$18,0,IF(H34&lt;=Parameter!$C$19,(Parameter!$C$22*(H34-Parameter!$C$18)/10000+Parameter!$C$23)*(H34-Parameter!$C$18)/10000,IF(H34&lt;=Parameter!$C$20,(Parameter!$C$24*(H34-Parameter!$C$19)/10000+Parameter!$C$25)*(H34-Parameter!$C$19)/10000+Parameter!$C$26,IF(H34&lt;=Parameter!$C$21,0.42*H34-Parameter!$C$27,0.45*H34-Parameter!$C$28)))))</f>
        <v/>
      </c>
      <c r="J34" s="40">
        <f>I34+IF(I34&lt;=(Parameter!$C$30*Parameter!$C$57*D34),0,MIN(Parameter!$C$29*I34,Parameter!$C$31*(I34-(Parameter!$C$30*Parameter!$C$57*D34))))+Eingaben!$C$16*I34</f>
        <v/>
      </c>
      <c r="K34" s="40">
        <f>IF(Eingaben!$C$31=1,IF(0=1,Ansparphase!$AY$57,0),(Ansparphase!$AY$57+Ansparphase!$AZ$57)*Eingaben!$C$32/10000*12*(1+Eingaben!$C$33)^26*F34*IF((Ansparphase!$AY$57+Ansparphase!$AZ$57)=0,0,Ansparphase!$AY$57/(Ansparphase!$AY$57+Ansparphase!$AZ$57)))</f>
        <v/>
      </c>
      <c r="L34" s="40">
        <f>IF(Eingaben!$C$31=1,IF(0=1,Ansparphase!$AZ$57,0),(Ansparphase!$AY$57+Ansparphase!$AZ$57)*Eingaben!$C$32/10000*12*(1+Eingaben!$C$33)^26*F34*IF((Ansparphase!$AY$57+Ansparphase!$AZ$57)=0,0,Ansparphase!$AZ$57/(Ansparphase!$AY$57+Ansparphase!$AZ$57)))</f>
        <v/>
      </c>
      <c r="M34" s="40">
        <f>K34+L34</f>
        <v/>
      </c>
      <c r="N34" s="40">
        <f>K34+L34*IF(Eingaben!$C$31=1,(1-IF(Ansparphase!$AZ$57=0,1,MIN(1,$CG$8/Ansparphase!$AZ$57)))*Parameter!$C$52,Parameter!$C$51)</f>
        <v/>
      </c>
      <c r="O34" s="40">
        <f>IF(Eingaben!$C$31=1,IF(26&lt;10,(Ansparphase!$AY$57+Ansparphase!$AZ$57)/120,0),M34/12)</f>
        <v/>
      </c>
      <c r="P34" s="40">
        <f>Eingaben!$C$44/12*(1+Eingaben!$C$13)^C34</f>
        <v/>
      </c>
      <c r="Q34" s="40">
        <f>MAX(0,MIN(O34,Parameter!$C$5/12*E34-P34))</f>
        <v/>
      </c>
      <c r="R34" s="40">
        <f>IF(Eingaben!$C$42=2,0,MAX(0,Q34-Parameter!$C$7*E34)*Parameter!$C$54*12)</f>
        <v/>
      </c>
      <c r="S34" s="40">
        <f>IF(Eingaben!$C$42=2,0,IF(O34&gt;Parameter!$C$7*E34,Q34*Parameter!$C$59*12,0))</f>
        <v/>
      </c>
      <c r="T34" s="40">
        <f>R34+S34</f>
        <v/>
      </c>
      <c r="U34" s="40">
        <f>Ansparphase!$BL$57*Parameter!$C$9*12*(1+Eingaben!$C$13)^(Eingaben!$C$6-Eingaben!$C$5)*(1+Eingaben!$C$13)^26*F34</f>
        <v/>
      </c>
      <c r="V34" s="40">
        <f>U34*Parameter!$C$66</f>
        <v/>
      </c>
      <c r="W34" s="40">
        <f>IF(Eingaben!$C$42=2,0,U34*(Parameter!$C$53+Parameter!$C$59))</f>
        <v/>
      </c>
      <c r="X34" s="40">
        <f>MAX(0,G34-V34+N34-T34+W34)</f>
        <v/>
      </c>
      <c r="Y34" s="40">
        <f>MAX(0,(X34+IF(Eingaben!$C$14=3,Eingaben!$C$15,0))/Parameter!$C$57/D34)</f>
        <v/>
      </c>
      <c r="Z34" s="40">
        <f>Parameter!$C$57*D34*(IF(Y34&lt;=Parameter!$C$18,0,IF(Y34&lt;=Parameter!$C$19,(Parameter!$C$22*(Y34-Parameter!$C$18)/10000+Parameter!$C$23)*(Y34-Parameter!$C$18)/10000,IF(Y34&lt;=Parameter!$C$20,(Parameter!$C$24*(Y34-Parameter!$C$19)/10000+Parameter!$C$25)*(Y34-Parameter!$C$19)/10000+Parameter!$C$26,IF(Y34&lt;=Parameter!$C$21,0.42*Y34-Parameter!$C$27,0.45*Y34-Parameter!$C$28)))))</f>
        <v/>
      </c>
      <c r="AA34" s="40">
        <f>Z34+IF(Z34&lt;=(Parameter!$C$30*Parameter!$C$57*D34),0,MIN(Parameter!$C$29*Z34,Parameter!$C$31*(Z34-(Parameter!$C$30*Parameter!$C$57*D34))))+Eingaben!$C$16*Z34</f>
        <v/>
      </c>
      <c r="AB34" s="40">
        <f>MAX(0,G34-V34+N34/5-T34+W34)</f>
        <v/>
      </c>
      <c r="AC34" s="40">
        <f>MAX(0,(AB34+IF(Eingaben!$C$14=3,Eingaben!$C$15,0))/Parameter!$C$57/D34)</f>
        <v/>
      </c>
      <c r="AD34" s="40">
        <f>Parameter!$C$57*D34*(IF(AC34&lt;=Parameter!$C$18,0,IF(AC34&lt;=Parameter!$C$19,(Parameter!$C$22*(AC34-Parameter!$C$18)/10000+Parameter!$C$23)*(AC34-Parameter!$C$18)/10000,IF(AC34&lt;=Parameter!$C$20,(Parameter!$C$24*(AC34-Parameter!$C$19)/10000+Parameter!$C$25)*(AC34-Parameter!$C$19)/10000+Parameter!$C$26,IF(AC34&lt;=Parameter!$C$21,0.42*AC34-Parameter!$C$27,0.45*AC34-Parameter!$C$28)))))</f>
        <v/>
      </c>
      <c r="AE34" s="40">
        <f>AD34+IF(AD34&lt;=(Parameter!$C$30*Parameter!$C$57*D34),0,MIN(Parameter!$C$29*AD34,Parameter!$C$31*(AD34-(Parameter!$C$30*Parameter!$C$57*D34))))+Eingaben!$C$16*AD34</f>
        <v/>
      </c>
      <c r="AF34" s="40">
        <f>IF(AND(Eingaben!$C$34=1,Eingaben!$C$31=1,M34&gt;0),MIN(AA34-J34,5*(AE34-J34)),AA34-J34)</f>
        <v/>
      </c>
      <c r="AG34" s="40">
        <f>M34-T34-AF34-U34+W34</f>
        <v/>
      </c>
      <c r="AH34" s="40">
        <f>IF(Eingaben!$C$46=2,0,MAX(0,(AH33-AI33)*(1+Parameter!$C$61)))</f>
        <v/>
      </c>
      <c r="AI34" s="40">
        <f>IF(Eingaben!$C$46=1,IF(F34=0,0,MIN(AH34,Ansparphase!$BA$57*IF(26=0,Eingaben!$C$45,0)+(Ansparphase!$BA$57*(1-Eingaben!$C$45))*$CG$4)),Ansparphase!$BA$57*IF(26=0,Eingaben!$C$45,0)+(((Ansparphase!$BA$57*(1-Eingaben!$C$45))+(Ansparphase!$BB$57*(1-Eingaben!$C$45)))*Eingaben!$C$47/10000*12*(1+Eingaben!$C$48)^26*F34)*IF(((Ansparphase!$BA$57*(1-Eingaben!$C$45))+(Ansparphase!$BB$57*(1-Eingaben!$C$45)))=0,0,(Ansparphase!$BA$57*(1-Eingaben!$C$45))/((Ansparphase!$BA$57*(1-Eingaben!$C$45))+(Ansparphase!$BB$57*(1-Eingaben!$C$45)))))</f>
        <v/>
      </c>
      <c r="AJ34" s="40">
        <f>IF(Eingaben!$C$46=2,0,MAX(0,(AJ33-AK33)*(1+Parameter!$C$61)))</f>
        <v/>
      </c>
      <c r="AK34" s="40">
        <f>AO34+AP34</f>
        <v/>
      </c>
      <c r="AL34" s="40">
        <f>MAX(0,(AL33-AM33)*(1+Parameter!$C$62))</f>
        <v/>
      </c>
      <c r="AM34" s="40">
        <f>IF(F34=0,0,MIN(AL34,Ansparphase!$BC$57*$CG$5))</f>
        <v/>
      </c>
      <c r="AN34" s="40">
        <f>MAX(0,AM34*(1-IF(Ansparphase!$BC$57=0,1,MIN(1,Ansparphase!$BD$57/Ansparphase!$BC$57)))*(1-Parameter!$C$37))*Parameter!$C$36</f>
        <v/>
      </c>
      <c r="AO34" s="40">
        <f>IF(Eingaben!$C$46=1,IF(F34=0,0,MIN(AJ34,Ansparphase!$BB$57*IF(26=0,Eingaben!$C$45,0)+(Ansparphase!$BB$57*(1-Eingaben!$C$45))*$CG$4)),Ansparphase!$BB$57*IF(26=0,Eingaben!$C$45,0))</f>
        <v/>
      </c>
      <c r="AP34" s="40">
        <f>IF(Eingaben!$C$46=1,0,(((Ansparphase!$BA$57*(1-Eingaben!$C$45))+(Ansparphase!$BB$57*(1-Eingaben!$C$45)))*Eingaben!$C$47/10000*12*(1+Eingaben!$C$48)^26*F34)*IF(((Ansparphase!$BA$57*(1-Eingaben!$C$45))+(Ansparphase!$BB$57*(1-Eingaben!$C$45)))=0,0,(Ansparphase!$BB$57*(1-Eingaben!$C$45))/((Ansparphase!$BA$57*(1-Eingaben!$C$45))+(Ansparphase!$BB$57*(1-Eingaben!$C$45)))))</f>
        <v/>
      </c>
      <c r="AQ34" s="40">
        <f>IF(AND(Eingaben!$C$46=2,F34=0),((Ansparphase!$BA$57*(1-Eingaben!$C$45))+(Ansparphase!$BB$57*(1-Eingaben!$C$45)))*Eingaben!$C$47/10000*12*(1+Eingaben!$C$48)^26,0)</f>
        <v/>
      </c>
      <c r="AR34" s="40">
        <f>AI34+AO34*(1-IF(Ansparphase!$BB$57=0,1,MIN(1,$CG$7/Ansparphase!$BB$57)))*Parameter!$C$52+AP34*Parameter!$C$51</f>
        <v/>
      </c>
      <c r="AS34" s="40">
        <f>MAX(0,G34+AR34)</f>
        <v/>
      </c>
      <c r="AT34" s="40">
        <f>MAX(0,(AS34+IF(Eingaben!$C$14=3,Eingaben!$C$15,0))/Parameter!$C$57/D34)</f>
        <v/>
      </c>
      <c r="AU34" s="40">
        <f>Parameter!$C$57*D34*(IF(AT34&lt;=Parameter!$C$18,0,IF(AT34&lt;=Parameter!$C$19,(Parameter!$C$22*(AT34-Parameter!$C$18)/10000+Parameter!$C$23)*(AT34-Parameter!$C$18)/10000,IF(AT34&lt;=Parameter!$C$20,(Parameter!$C$24*(AT34-Parameter!$C$19)/10000+Parameter!$C$25)*(AT34-Parameter!$C$19)/10000+Parameter!$C$26,IF(AT34&lt;=Parameter!$C$21,0.42*AT34-Parameter!$C$27,0.45*AT34-Parameter!$C$28)))))</f>
        <v/>
      </c>
      <c r="AV34" s="40">
        <f>AU34+IF(AU34&lt;=(Parameter!$C$30*Parameter!$C$57*D34),0,MIN(Parameter!$C$29*AU34,Parameter!$C$31*(AU34-(Parameter!$C$30*Parameter!$C$57*D34))))+Eingaben!$C$16*AU34</f>
        <v/>
      </c>
      <c r="AW34" s="40">
        <f>AI34+AK34-(AV34-J34)+AM34-AN34</f>
        <v/>
      </c>
      <c r="AX34" s="40">
        <f>MAX(0,(AX33-AZ33)*(1+Parameter!$C$62))</f>
        <v/>
      </c>
      <c r="AY34" s="40">
        <f>MAX(0,AY33-AY33*IF(AX33=0,0,AZ33/AX33))</f>
        <v/>
      </c>
      <c r="AZ34" s="40">
        <f>IF(F34=0,0,MIN(AX34,Ansparphase!$BG$57*$CG$5))</f>
        <v/>
      </c>
      <c r="BA34" s="40">
        <f>AZ34-IF(AX34=0,0,AY34*AZ34/AX34)</f>
        <v/>
      </c>
      <c r="BB34" s="40">
        <f>MAX(0,BA34*(1-Parameter!$C$37)-Parameter!$C$67)*Parameter!$C$36</f>
        <v/>
      </c>
      <c r="BC34" s="40">
        <f>AZ34-BB34</f>
        <v/>
      </c>
      <c r="BD34" s="38">
        <f>1/(1+Eingaben!$C$40)^C34</f>
        <v/>
      </c>
      <c r="BE34" s="40">
        <f>IF(AND(Eingaben!$C$31=2,F34=0),(Ansparphase!$AY$57+Ansparphase!$AZ$57)*Eingaben!$C$32/10000*12*(1+Eingaben!$C$33)^26,0)</f>
        <v/>
      </c>
      <c r="BF34" s="38">
        <f>1/(1+Parameter!$C$68)^26</f>
        <v/>
      </c>
    </row>
    <row r="35">
      <c r="A35" s="32">
        <f>2026+C35</f>
        <v/>
      </c>
      <c r="B35" s="32">
        <f>Eingaben!$C$6+27</f>
        <v/>
      </c>
      <c r="C35" s="32">
        <f>B35-Eingaben!$C$5</f>
        <v/>
      </c>
      <c r="D35" s="41">
        <f>(1+Eingaben!$C$17)^C35</f>
        <v/>
      </c>
      <c r="E35" s="41">
        <f>(1+Eingaben!$C$13)^C35</f>
        <v/>
      </c>
      <c r="F35" s="32">
        <f>IF(B35&lt;=Eingaben!$C$7,1,0)</f>
        <v/>
      </c>
      <c r="G35" s="43">
        <f>Eingaben!$C$43*(1+Eingaben!$C$40)^C35</f>
        <v/>
      </c>
      <c r="H35" s="43">
        <f>MAX(0,(G35+IF(Eingaben!$C$14=3,Eingaben!$C$15,0))/Parameter!$C$57/D35)</f>
        <v/>
      </c>
      <c r="I35" s="43">
        <f>Parameter!$C$57*D35*(IF(H35&lt;=Parameter!$C$18,0,IF(H35&lt;=Parameter!$C$19,(Parameter!$C$22*(H35-Parameter!$C$18)/10000+Parameter!$C$23)*(H35-Parameter!$C$18)/10000,IF(H35&lt;=Parameter!$C$20,(Parameter!$C$24*(H35-Parameter!$C$19)/10000+Parameter!$C$25)*(H35-Parameter!$C$19)/10000+Parameter!$C$26,IF(H35&lt;=Parameter!$C$21,0.42*H35-Parameter!$C$27,0.45*H35-Parameter!$C$28)))))</f>
        <v/>
      </c>
      <c r="J35" s="43">
        <f>I35+IF(I35&lt;=(Parameter!$C$30*Parameter!$C$57*D35),0,MIN(Parameter!$C$29*I35,Parameter!$C$31*(I35-(Parameter!$C$30*Parameter!$C$57*D35))))+Eingaben!$C$16*I35</f>
        <v/>
      </c>
      <c r="K35" s="43">
        <f>IF(Eingaben!$C$31=1,IF(0=1,Ansparphase!$AY$57,0),(Ansparphase!$AY$57+Ansparphase!$AZ$57)*Eingaben!$C$32/10000*12*(1+Eingaben!$C$33)^27*F35*IF((Ansparphase!$AY$57+Ansparphase!$AZ$57)=0,0,Ansparphase!$AY$57/(Ansparphase!$AY$57+Ansparphase!$AZ$57)))</f>
        <v/>
      </c>
      <c r="L35" s="43">
        <f>IF(Eingaben!$C$31=1,IF(0=1,Ansparphase!$AZ$57,0),(Ansparphase!$AY$57+Ansparphase!$AZ$57)*Eingaben!$C$32/10000*12*(1+Eingaben!$C$33)^27*F35*IF((Ansparphase!$AY$57+Ansparphase!$AZ$57)=0,0,Ansparphase!$AZ$57/(Ansparphase!$AY$57+Ansparphase!$AZ$57)))</f>
        <v/>
      </c>
      <c r="M35" s="43">
        <f>K35+L35</f>
        <v/>
      </c>
      <c r="N35" s="43">
        <f>K35+L35*IF(Eingaben!$C$31=1,(1-IF(Ansparphase!$AZ$57=0,1,MIN(1,$CG$8/Ansparphase!$AZ$57)))*Parameter!$C$52,Parameter!$C$51)</f>
        <v/>
      </c>
      <c r="O35" s="43">
        <f>IF(Eingaben!$C$31=1,IF(27&lt;10,(Ansparphase!$AY$57+Ansparphase!$AZ$57)/120,0),M35/12)</f>
        <v/>
      </c>
      <c r="P35" s="43">
        <f>Eingaben!$C$44/12*(1+Eingaben!$C$13)^C35</f>
        <v/>
      </c>
      <c r="Q35" s="43">
        <f>MAX(0,MIN(O35,Parameter!$C$5/12*E35-P35))</f>
        <v/>
      </c>
      <c r="R35" s="43">
        <f>IF(Eingaben!$C$42=2,0,MAX(0,Q35-Parameter!$C$7*E35)*Parameter!$C$54*12)</f>
        <v/>
      </c>
      <c r="S35" s="43">
        <f>IF(Eingaben!$C$42=2,0,IF(O35&gt;Parameter!$C$7*E35,Q35*Parameter!$C$59*12,0))</f>
        <v/>
      </c>
      <c r="T35" s="43">
        <f>R35+S35</f>
        <v/>
      </c>
      <c r="U35" s="43">
        <f>Ansparphase!$BL$57*Parameter!$C$9*12*(1+Eingaben!$C$13)^(Eingaben!$C$6-Eingaben!$C$5)*(1+Eingaben!$C$13)^27*F35</f>
        <v/>
      </c>
      <c r="V35" s="43">
        <f>U35*Parameter!$C$66</f>
        <v/>
      </c>
      <c r="W35" s="43">
        <f>IF(Eingaben!$C$42=2,0,U35*(Parameter!$C$53+Parameter!$C$59))</f>
        <v/>
      </c>
      <c r="X35" s="43">
        <f>MAX(0,G35-V35+N35-T35+W35)</f>
        <v/>
      </c>
      <c r="Y35" s="43">
        <f>MAX(0,(X35+IF(Eingaben!$C$14=3,Eingaben!$C$15,0))/Parameter!$C$57/D35)</f>
        <v/>
      </c>
      <c r="Z35" s="43">
        <f>Parameter!$C$57*D35*(IF(Y35&lt;=Parameter!$C$18,0,IF(Y35&lt;=Parameter!$C$19,(Parameter!$C$22*(Y35-Parameter!$C$18)/10000+Parameter!$C$23)*(Y35-Parameter!$C$18)/10000,IF(Y35&lt;=Parameter!$C$20,(Parameter!$C$24*(Y35-Parameter!$C$19)/10000+Parameter!$C$25)*(Y35-Parameter!$C$19)/10000+Parameter!$C$26,IF(Y35&lt;=Parameter!$C$21,0.42*Y35-Parameter!$C$27,0.45*Y35-Parameter!$C$28)))))</f>
        <v/>
      </c>
      <c r="AA35" s="43">
        <f>Z35+IF(Z35&lt;=(Parameter!$C$30*Parameter!$C$57*D35),0,MIN(Parameter!$C$29*Z35,Parameter!$C$31*(Z35-(Parameter!$C$30*Parameter!$C$57*D35))))+Eingaben!$C$16*Z35</f>
        <v/>
      </c>
      <c r="AB35" s="43">
        <f>MAX(0,G35-V35+N35/5-T35+W35)</f>
        <v/>
      </c>
      <c r="AC35" s="43">
        <f>MAX(0,(AB35+IF(Eingaben!$C$14=3,Eingaben!$C$15,0))/Parameter!$C$57/D35)</f>
        <v/>
      </c>
      <c r="AD35" s="43">
        <f>Parameter!$C$57*D35*(IF(AC35&lt;=Parameter!$C$18,0,IF(AC35&lt;=Parameter!$C$19,(Parameter!$C$22*(AC35-Parameter!$C$18)/10000+Parameter!$C$23)*(AC35-Parameter!$C$18)/10000,IF(AC35&lt;=Parameter!$C$20,(Parameter!$C$24*(AC35-Parameter!$C$19)/10000+Parameter!$C$25)*(AC35-Parameter!$C$19)/10000+Parameter!$C$26,IF(AC35&lt;=Parameter!$C$21,0.42*AC35-Parameter!$C$27,0.45*AC35-Parameter!$C$28)))))</f>
        <v/>
      </c>
      <c r="AE35" s="43">
        <f>AD35+IF(AD35&lt;=(Parameter!$C$30*Parameter!$C$57*D35),0,MIN(Parameter!$C$29*AD35,Parameter!$C$31*(AD35-(Parameter!$C$30*Parameter!$C$57*D35))))+Eingaben!$C$16*AD35</f>
        <v/>
      </c>
      <c r="AF35" s="43">
        <f>IF(AND(Eingaben!$C$34=1,Eingaben!$C$31=1,M35&gt;0),MIN(AA35-J35,5*(AE35-J35)),AA35-J35)</f>
        <v/>
      </c>
      <c r="AG35" s="43">
        <f>M35-T35-AF35-U35+W35</f>
        <v/>
      </c>
      <c r="AH35" s="43">
        <f>IF(Eingaben!$C$46=2,0,MAX(0,(AH34-AI34)*(1+Parameter!$C$61)))</f>
        <v/>
      </c>
      <c r="AI35" s="43">
        <f>IF(Eingaben!$C$46=1,IF(F35=0,0,MIN(AH35,Ansparphase!$BA$57*IF(27=0,Eingaben!$C$45,0)+(Ansparphase!$BA$57*(1-Eingaben!$C$45))*$CG$4)),Ansparphase!$BA$57*IF(27=0,Eingaben!$C$45,0)+(((Ansparphase!$BA$57*(1-Eingaben!$C$45))+(Ansparphase!$BB$57*(1-Eingaben!$C$45)))*Eingaben!$C$47/10000*12*(1+Eingaben!$C$48)^27*F35)*IF(((Ansparphase!$BA$57*(1-Eingaben!$C$45))+(Ansparphase!$BB$57*(1-Eingaben!$C$45)))=0,0,(Ansparphase!$BA$57*(1-Eingaben!$C$45))/((Ansparphase!$BA$57*(1-Eingaben!$C$45))+(Ansparphase!$BB$57*(1-Eingaben!$C$45)))))</f>
        <v/>
      </c>
      <c r="AJ35" s="43">
        <f>IF(Eingaben!$C$46=2,0,MAX(0,(AJ34-AK34)*(1+Parameter!$C$61)))</f>
        <v/>
      </c>
      <c r="AK35" s="43">
        <f>AO35+AP35</f>
        <v/>
      </c>
      <c r="AL35" s="43">
        <f>MAX(0,(AL34-AM34)*(1+Parameter!$C$62))</f>
        <v/>
      </c>
      <c r="AM35" s="43">
        <f>IF(F35=0,0,MIN(AL35,Ansparphase!$BC$57*$CG$5))</f>
        <v/>
      </c>
      <c r="AN35" s="43">
        <f>MAX(0,AM35*(1-IF(Ansparphase!$BC$57=0,1,MIN(1,Ansparphase!$BD$57/Ansparphase!$BC$57)))*(1-Parameter!$C$37))*Parameter!$C$36</f>
        <v/>
      </c>
      <c r="AO35" s="43">
        <f>IF(Eingaben!$C$46=1,IF(F35=0,0,MIN(AJ35,Ansparphase!$BB$57*IF(27=0,Eingaben!$C$45,0)+(Ansparphase!$BB$57*(1-Eingaben!$C$45))*$CG$4)),Ansparphase!$BB$57*IF(27=0,Eingaben!$C$45,0))</f>
        <v/>
      </c>
      <c r="AP35" s="43">
        <f>IF(Eingaben!$C$46=1,0,(((Ansparphase!$BA$57*(1-Eingaben!$C$45))+(Ansparphase!$BB$57*(1-Eingaben!$C$45)))*Eingaben!$C$47/10000*12*(1+Eingaben!$C$48)^27*F35)*IF(((Ansparphase!$BA$57*(1-Eingaben!$C$45))+(Ansparphase!$BB$57*(1-Eingaben!$C$45)))=0,0,(Ansparphase!$BB$57*(1-Eingaben!$C$45))/((Ansparphase!$BA$57*(1-Eingaben!$C$45))+(Ansparphase!$BB$57*(1-Eingaben!$C$45)))))</f>
        <v/>
      </c>
      <c r="AQ35" s="43">
        <f>IF(AND(Eingaben!$C$46=2,F35=0),((Ansparphase!$BA$57*(1-Eingaben!$C$45))+(Ansparphase!$BB$57*(1-Eingaben!$C$45)))*Eingaben!$C$47/10000*12*(1+Eingaben!$C$48)^27,0)</f>
        <v/>
      </c>
      <c r="AR35" s="43">
        <f>AI35+AO35*(1-IF(Ansparphase!$BB$57=0,1,MIN(1,$CG$7/Ansparphase!$BB$57)))*Parameter!$C$52+AP35*Parameter!$C$51</f>
        <v/>
      </c>
      <c r="AS35" s="43">
        <f>MAX(0,G35+AR35)</f>
        <v/>
      </c>
      <c r="AT35" s="43">
        <f>MAX(0,(AS35+IF(Eingaben!$C$14=3,Eingaben!$C$15,0))/Parameter!$C$57/D35)</f>
        <v/>
      </c>
      <c r="AU35" s="43">
        <f>Parameter!$C$57*D35*(IF(AT35&lt;=Parameter!$C$18,0,IF(AT35&lt;=Parameter!$C$19,(Parameter!$C$22*(AT35-Parameter!$C$18)/10000+Parameter!$C$23)*(AT35-Parameter!$C$18)/10000,IF(AT35&lt;=Parameter!$C$20,(Parameter!$C$24*(AT35-Parameter!$C$19)/10000+Parameter!$C$25)*(AT35-Parameter!$C$19)/10000+Parameter!$C$26,IF(AT35&lt;=Parameter!$C$21,0.42*AT35-Parameter!$C$27,0.45*AT35-Parameter!$C$28)))))</f>
        <v/>
      </c>
      <c r="AV35" s="43">
        <f>AU35+IF(AU35&lt;=(Parameter!$C$30*Parameter!$C$57*D35),0,MIN(Parameter!$C$29*AU35,Parameter!$C$31*(AU35-(Parameter!$C$30*Parameter!$C$57*D35))))+Eingaben!$C$16*AU35</f>
        <v/>
      </c>
      <c r="AW35" s="43">
        <f>AI35+AK35-(AV35-J35)+AM35-AN35</f>
        <v/>
      </c>
      <c r="AX35" s="43">
        <f>MAX(0,(AX34-AZ34)*(1+Parameter!$C$62))</f>
        <v/>
      </c>
      <c r="AY35" s="43">
        <f>MAX(0,AY34-AY34*IF(AX34=0,0,AZ34/AX34))</f>
        <v/>
      </c>
      <c r="AZ35" s="43">
        <f>IF(F35=0,0,MIN(AX35,Ansparphase!$BG$57*$CG$5))</f>
        <v/>
      </c>
      <c r="BA35" s="43">
        <f>AZ35-IF(AX35=0,0,AY35*AZ35/AX35)</f>
        <v/>
      </c>
      <c r="BB35" s="43">
        <f>MAX(0,BA35*(1-Parameter!$C$37)-Parameter!$C$67)*Parameter!$C$36</f>
        <v/>
      </c>
      <c r="BC35" s="43">
        <f>AZ35-BB35</f>
        <v/>
      </c>
      <c r="BD35" s="41">
        <f>1/(1+Eingaben!$C$40)^C35</f>
        <v/>
      </c>
      <c r="BE35" s="43">
        <f>IF(AND(Eingaben!$C$31=2,F35=0),(Ansparphase!$AY$57+Ansparphase!$AZ$57)*Eingaben!$C$32/10000*12*(1+Eingaben!$C$33)^27,0)</f>
        <v/>
      </c>
      <c r="BF35" s="41">
        <f>1/(1+Parameter!$C$68)^27</f>
        <v/>
      </c>
    </row>
    <row r="36">
      <c r="A36" s="30">
        <f>2026+C36</f>
        <v/>
      </c>
      <c r="B36" s="30">
        <f>Eingaben!$C$6+28</f>
        <v/>
      </c>
      <c r="C36" s="30">
        <f>B36-Eingaben!$C$5</f>
        <v/>
      </c>
      <c r="D36" s="38">
        <f>(1+Eingaben!$C$17)^C36</f>
        <v/>
      </c>
      <c r="E36" s="38">
        <f>(1+Eingaben!$C$13)^C36</f>
        <v/>
      </c>
      <c r="F36" s="30">
        <f>IF(B36&lt;=Eingaben!$C$7,1,0)</f>
        <v/>
      </c>
      <c r="G36" s="40">
        <f>Eingaben!$C$43*(1+Eingaben!$C$40)^C36</f>
        <v/>
      </c>
      <c r="H36" s="40">
        <f>MAX(0,(G36+IF(Eingaben!$C$14=3,Eingaben!$C$15,0))/Parameter!$C$57/D36)</f>
        <v/>
      </c>
      <c r="I36" s="40">
        <f>Parameter!$C$57*D36*(IF(H36&lt;=Parameter!$C$18,0,IF(H36&lt;=Parameter!$C$19,(Parameter!$C$22*(H36-Parameter!$C$18)/10000+Parameter!$C$23)*(H36-Parameter!$C$18)/10000,IF(H36&lt;=Parameter!$C$20,(Parameter!$C$24*(H36-Parameter!$C$19)/10000+Parameter!$C$25)*(H36-Parameter!$C$19)/10000+Parameter!$C$26,IF(H36&lt;=Parameter!$C$21,0.42*H36-Parameter!$C$27,0.45*H36-Parameter!$C$28)))))</f>
        <v/>
      </c>
      <c r="J36" s="40">
        <f>I36+IF(I36&lt;=(Parameter!$C$30*Parameter!$C$57*D36),0,MIN(Parameter!$C$29*I36,Parameter!$C$31*(I36-(Parameter!$C$30*Parameter!$C$57*D36))))+Eingaben!$C$16*I36</f>
        <v/>
      </c>
      <c r="K36" s="40">
        <f>IF(Eingaben!$C$31=1,IF(0=1,Ansparphase!$AY$57,0),(Ansparphase!$AY$57+Ansparphase!$AZ$57)*Eingaben!$C$32/10000*12*(1+Eingaben!$C$33)^28*F36*IF((Ansparphase!$AY$57+Ansparphase!$AZ$57)=0,0,Ansparphase!$AY$57/(Ansparphase!$AY$57+Ansparphase!$AZ$57)))</f>
        <v/>
      </c>
      <c r="L36" s="40">
        <f>IF(Eingaben!$C$31=1,IF(0=1,Ansparphase!$AZ$57,0),(Ansparphase!$AY$57+Ansparphase!$AZ$57)*Eingaben!$C$32/10000*12*(1+Eingaben!$C$33)^28*F36*IF((Ansparphase!$AY$57+Ansparphase!$AZ$57)=0,0,Ansparphase!$AZ$57/(Ansparphase!$AY$57+Ansparphase!$AZ$57)))</f>
        <v/>
      </c>
      <c r="M36" s="40">
        <f>K36+L36</f>
        <v/>
      </c>
      <c r="N36" s="40">
        <f>K36+L36*IF(Eingaben!$C$31=1,(1-IF(Ansparphase!$AZ$57=0,1,MIN(1,$CG$8/Ansparphase!$AZ$57)))*Parameter!$C$52,Parameter!$C$51)</f>
        <v/>
      </c>
      <c r="O36" s="40">
        <f>IF(Eingaben!$C$31=1,IF(28&lt;10,(Ansparphase!$AY$57+Ansparphase!$AZ$57)/120,0),M36/12)</f>
        <v/>
      </c>
      <c r="P36" s="40">
        <f>Eingaben!$C$44/12*(1+Eingaben!$C$13)^C36</f>
        <v/>
      </c>
      <c r="Q36" s="40">
        <f>MAX(0,MIN(O36,Parameter!$C$5/12*E36-P36))</f>
        <v/>
      </c>
      <c r="R36" s="40">
        <f>IF(Eingaben!$C$42=2,0,MAX(0,Q36-Parameter!$C$7*E36)*Parameter!$C$54*12)</f>
        <v/>
      </c>
      <c r="S36" s="40">
        <f>IF(Eingaben!$C$42=2,0,IF(O36&gt;Parameter!$C$7*E36,Q36*Parameter!$C$59*12,0))</f>
        <v/>
      </c>
      <c r="T36" s="40">
        <f>R36+S36</f>
        <v/>
      </c>
      <c r="U36" s="40">
        <f>Ansparphase!$BL$57*Parameter!$C$9*12*(1+Eingaben!$C$13)^(Eingaben!$C$6-Eingaben!$C$5)*(1+Eingaben!$C$13)^28*F36</f>
        <v/>
      </c>
      <c r="V36" s="40">
        <f>U36*Parameter!$C$66</f>
        <v/>
      </c>
      <c r="W36" s="40">
        <f>IF(Eingaben!$C$42=2,0,U36*(Parameter!$C$53+Parameter!$C$59))</f>
        <v/>
      </c>
      <c r="X36" s="40">
        <f>MAX(0,G36-V36+N36-T36+W36)</f>
        <v/>
      </c>
      <c r="Y36" s="40">
        <f>MAX(0,(X36+IF(Eingaben!$C$14=3,Eingaben!$C$15,0))/Parameter!$C$57/D36)</f>
        <v/>
      </c>
      <c r="Z36" s="40">
        <f>Parameter!$C$57*D36*(IF(Y36&lt;=Parameter!$C$18,0,IF(Y36&lt;=Parameter!$C$19,(Parameter!$C$22*(Y36-Parameter!$C$18)/10000+Parameter!$C$23)*(Y36-Parameter!$C$18)/10000,IF(Y36&lt;=Parameter!$C$20,(Parameter!$C$24*(Y36-Parameter!$C$19)/10000+Parameter!$C$25)*(Y36-Parameter!$C$19)/10000+Parameter!$C$26,IF(Y36&lt;=Parameter!$C$21,0.42*Y36-Parameter!$C$27,0.45*Y36-Parameter!$C$28)))))</f>
        <v/>
      </c>
      <c r="AA36" s="40">
        <f>Z36+IF(Z36&lt;=(Parameter!$C$30*Parameter!$C$57*D36),0,MIN(Parameter!$C$29*Z36,Parameter!$C$31*(Z36-(Parameter!$C$30*Parameter!$C$57*D36))))+Eingaben!$C$16*Z36</f>
        <v/>
      </c>
      <c r="AB36" s="40">
        <f>MAX(0,G36-V36+N36/5-T36+W36)</f>
        <v/>
      </c>
      <c r="AC36" s="40">
        <f>MAX(0,(AB36+IF(Eingaben!$C$14=3,Eingaben!$C$15,0))/Parameter!$C$57/D36)</f>
        <v/>
      </c>
      <c r="AD36" s="40">
        <f>Parameter!$C$57*D36*(IF(AC36&lt;=Parameter!$C$18,0,IF(AC36&lt;=Parameter!$C$19,(Parameter!$C$22*(AC36-Parameter!$C$18)/10000+Parameter!$C$23)*(AC36-Parameter!$C$18)/10000,IF(AC36&lt;=Parameter!$C$20,(Parameter!$C$24*(AC36-Parameter!$C$19)/10000+Parameter!$C$25)*(AC36-Parameter!$C$19)/10000+Parameter!$C$26,IF(AC36&lt;=Parameter!$C$21,0.42*AC36-Parameter!$C$27,0.45*AC36-Parameter!$C$28)))))</f>
        <v/>
      </c>
      <c r="AE36" s="40">
        <f>AD36+IF(AD36&lt;=(Parameter!$C$30*Parameter!$C$57*D36),0,MIN(Parameter!$C$29*AD36,Parameter!$C$31*(AD36-(Parameter!$C$30*Parameter!$C$57*D36))))+Eingaben!$C$16*AD36</f>
        <v/>
      </c>
      <c r="AF36" s="40">
        <f>IF(AND(Eingaben!$C$34=1,Eingaben!$C$31=1,M36&gt;0),MIN(AA36-J36,5*(AE36-J36)),AA36-J36)</f>
        <v/>
      </c>
      <c r="AG36" s="40">
        <f>M36-T36-AF36-U36+W36</f>
        <v/>
      </c>
      <c r="AH36" s="40">
        <f>IF(Eingaben!$C$46=2,0,MAX(0,(AH35-AI35)*(1+Parameter!$C$61)))</f>
        <v/>
      </c>
      <c r="AI36" s="40">
        <f>IF(Eingaben!$C$46=1,IF(F36=0,0,MIN(AH36,Ansparphase!$BA$57*IF(28=0,Eingaben!$C$45,0)+(Ansparphase!$BA$57*(1-Eingaben!$C$45))*$CG$4)),Ansparphase!$BA$57*IF(28=0,Eingaben!$C$45,0)+(((Ansparphase!$BA$57*(1-Eingaben!$C$45))+(Ansparphase!$BB$57*(1-Eingaben!$C$45)))*Eingaben!$C$47/10000*12*(1+Eingaben!$C$48)^28*F36)*IF(((Ansparphase!$BA$57*(1-Eingaben!$C$45))+(Ansparphase!$BB$57*(1-Eingaben!$C$45)))=0,0,(Ansparphase!$BA$57*(1-Eingaben!$C$45))/((Ansparphase!$BA$57*(1-Eingaben!$C$45))+(Ansparphase!$BB$57*(1-Eingaben!$C$45)))))</f>
        <v/>
      </c>
      <c r="AJ36" s="40">
        <f>IF(Eingaben!$C$46=2,0,MAX(0,(AJ35-AK35)*(1+Parameter!$C$61)))</f>
        <v/>
      </c>
      <c r="AK36" s="40">
        <f>AO36+AP36</f>
        <v/>
      </c>
      <c r="AL36" s="40">
        <f>MAX(0,(AL35-AM35)*(1+Parameter!$C$62))</f>
        <v/>
      </c>
      <c r="AM36" s="40">
        <f>IF(F36=0,0,MIN(AL36,Ansparphase!$BC$57*$CG$5))</f>
        <v/>
      </c>
      <c r="AN36" s="40">
        <f>MAX(0,AM36*(1-IF(Ansparphase!$BC$57=0,1,MIN(1,Ansparphase!$BD$57/Ansparphase!$BC$57)))*(1-Parameter!$C$37))*Parameter!$C$36</f>
        <v/>
      </c>
      <c r="AO36" s="40">
        <f>IF(Eingaben!$C$46=1,IF(F36=0,0,MIN(AJ36,Ansparphase!$BB$57*IF(28=0,Eingaben!$C$45,0)+(Ansparphase!$BB$57*(1-Eingaben!$C$45))*$CG$4)),Ansparphase!$BB$57*IF(28=0,Eingaben!$C$45,0))</f>
        <v/>
      </c>
      <c r="AP36" s="40">
        <f>IF(Eingaben!$C$46=1,0,(((Ansparphase!$BA$57*(1-Eingaben!$C$45))+(Ansparphase!$BB$57*(1-Eingaben!$C$45)))*Eingaben!$C$47/10000*12*(1+Eingaben!$C$48)^28*F36)*IF(((Ansparphase!$BA$57*(1-Eingaben!$C$45))+(Ansparphase!$BB$57*(1-Eingaben!$C$45)))=0,0,(Ansparphase!$BB$57*(1-Eingaben!$C$45))/((Ansparphase!$BA$57*(1-Eingaben!$C$45))+(Ansparphase!$BB$57*(1-Eingaben!$C$45)))))</f>
        <v/>
      </c>
      <c r="AQ36" s="40">
        <f>IF(AND(Eingaben!$C$46=2,F36=0),((Ansparphase!$BA$57*(1-Eingaben!$C$45))+(Ansparphase!$BB$57*(1-Eingaben!$C$45)))*Eingaben!$C$47/10000*12*(1+Eingaben!$C$48)^28,0)</f>
        <v/>
      </c>
      <c r="AR36" s="40">
        <f>AI36+AO36*(1-IF(Ansparphase!$BB$57=0,1,MIN(1,$CG$7/Ansparphase!$BB$57)))*Parameter!$C$52+AP36*Parameter!$C$51</f>
        <v/>
      </c>
      <c r="AS36" s="40">
        <f>MAX(0,G36+AR36)</f>
        <v/>
      </c>
      <c r="AT36" s="40">
        <f>MAX(0,(AS36+IF(Eingaben!$C$14=3,Eingaben!$C$15,0))/Parameter!$C$57/D36)</f>
        <v/>
      </c>
      <c r="AU36" s="40">
        <f>Parameter!$C$57*D36*(IF(AT36&lt;=Parameter!$C$18,0,IF(AT36&lt;=Parameter!$C$19,(Parameter!$C$22*(AT36-Parameter!$C$18)/10000+Parameter!$C$23)*(AT36-Parameter!$C$18)/10000,IF(AT36&lt;=Parameter!$C$20,(Parameter!$C$24*(AT36-Parameter!$C$19)/10000+Parameter!$C$25)*(AT36-Parameter!$C$19)/10000+Parameter!$C$26,IF(AT36&lt;=Parameter!$C$21,0.42*AT36-Parameter!$C$27,0.45*AT36-Parameter!$C$28)))))</f>
        <v/>
      </c>
      <c r="AV36" s="40">
        <f>AU36+IF(AU36&lt;=(Parameter!$C$30*Parameter!$C$57*D36),0,MIN(Parameter!$C$29*AU36,Parameter!$C$31*(AU36-(Parameter!$C$30*Parameter!$C$57*D36))))+Eingaben!$C$16*AU36</f>
        <v/>
      </c>
      <c r="AW36" s="40">
        <f>AI36+AK36-(AV36-J36)+AM36-AN36</f>
        <v/>
      </c>
      <c r="AX36" s="40">
        <f>MAX(0,(AX35-AZ35)*(1+Parameter!$C$62))</f>
        <v/>
      </c>
      <c r="AY36" s="40">
        <f>MAX(0,AY35-AY35*IF(AX35=0,0,AZ35/AX35))</f>
        <v/>
      </c>
      <c r="AZ36" s="40">
        <f>IF(F36=0,0,MIN(AX36,Ansparphase!$BG$57*$CG$5))</f>
        <v/>
      </c>
      <c r="BA36" s="40">
        <f>AZ36-IF(AX36=0,0,AY36*AZ36/AX36)</f>
        <v/>
      </c>
      <c r="BB36" s="40">
        <f>MAX(0,BA36*(1-Parameter!$C$37)-Parameter!$C$67)*Parameter!$C$36</f>
        <v/>
      </c>
      <c r="BC36" s="40">
        <f>AZ36-BB36</f>
        <v/>
      </c>
      <c r="BD36" s="38">
        <f>1/(1+Eingaben!$C$40)^C36</f>
        <v/>
      </c>
      <c r="BE36" s="40">
        <f>IF(AND(Eingaben!$C$31=2,F36=0),(Ansparphase!$AY$57+Ansparphase!$AZ$57)*Eingaben!$C$32/10000*12*(1+Eingaben!$C$33)^28,0)</f>
        <v/>
      </c>
      <c r="BF36" s="38">
        <f>1/(1+Parameter!$C$68)^28</f>
        <v/>
      </c>
    </row>
    <row r="37">
      <c r="A37" s="32">
        <f>2026+C37</f>
        <v/>
      </c>
      <c r="B37" s="32">
        <f>Eingaben!$C$6+29</f>
        <v/>
      </c>
      <c r="C37" s="32">
        <f>B37-Eingaben!$C$5</f>
        <v/>
      </c>
      <c r="D37" s="41">
        <f>(1+Eingaben!$C$17)^C37</f>
        <v/>
      </c>
      <c r="E37" s="41">
        <f>(1+Eingaben!$C$13)^C37</f>
        <v/>
      </c>
      <c r="F37" s="32">
        <f>IF(B37&lt;=Eingaben!$C$7,1,0)</f>
        <v/>
      </c>
      <c r="G37" s="43">
        <f>Eingaben!$C$43*(1+Eingaben!$C$40)^C37</f>
        <v/>
      </c>
      <c r="H37" s="43">
        <f>MAX(0,(G37+IF(Eingaben!$C$14=3,Eingaben!$C$15,0))/Parameter!$C$57/D37)</f>
        <v/>
      </c>
      <c r="I37" s="43">
        <f>Parameter!$C$57*D37*(IF(H37&lt;=Parameter!$C$18,0,IF(H37&lt;=Parameter!$C$19,(Parameter!$C$22*(H37-Parameter!$C$18)/10000+Parameter!$C$23)*(H37-Parameter!$C$18)/10000,IF(H37&lt;=Parameter!$C$20,(Parameter!$C$24*(H37-Parameter!$C$19)/10000+Parameter!$C$25)*(H37-Parameter!$C$19)/10000+Parameter!$C$26,IF(H37&lt;=Parameter!$C$21,0.42*H37-Parameter!$C$27,0.45*H37-Parameter!$C$28)))))</f>
        <v/>
      </c>
      <c r="J37" s="43">
        <f>I37+IF(I37&lt;=(Parameter!$C$30*Parameter!$C$57*D37),0,MIN(Parameter!$C$29*I37,Parameter!$C$31*(I37-(Parameter!$C$30*Parameter!$C$57*D37))))+Eingaben!$C$16*I37</f>
        <v/>
      </c>
      <c r="K37" s="43">
        <f>IF(Eingaben!$C$31=1,IF(0=1,Ansparphase!$AY$57,0),(Ansparphase!$AY$57+Ansparphase!$AZ$57)*Eingaben!$C$32/10000*12*(1+Eingaben!$C$33)^29*F37*IF((Ansparphase!$AY$57+Ansparphase!$AZ$57)=0,0,Ansparphase!$AY$57/(Ansparphase!$AY$57+Ansparphase!$AZ$57)))</f>
        <v/>
      </c>
      <c r="L37" s="43">
        <f>IF(Eingaben!$C$31=1,IF(0=1,Ansparphase!$AZ$57,0),(Ansparphase!$AY$57+Ansparphase!$AZ$57)*Eingaben!$C$32/10000*12*(1+Eingaben!$C$33)^29*F37*IF((Ansparphase!$AY$57+Ansparphase!$AZ$57)=0,0,Ansparphase!$AZ$57/(Ansparphase!$AY$57+Ansparphase!$AZ$57)))</f>
        <v/>
      </c>
      <c r="M37" s="43">
        <f>K37+L37</f>
        <v/>
      </c>
      <c r="N37" s="43">
        <f>K37+L37*IF(Eingaben!$C$31=1,(1-IF(Ansparphase!$AZ$57=0,1,MIN(1,$CG$8/Ansparphase!$AZ$57)))*Parameter!$C$52,Parameter!$C$51)</f>
        <v/>
      </c>
      <c r="O37" s="43">
        <f>IF(Eingaben!$C$31=1,IF(29&lt;10,(Ansparphase!$AY$57+Ansparphase!$AZ$57)/120,0),M37/12)</f>
        <v/>
      </c>
      <c r="P37" s="43">
        <f>Eingaben!$C$44/12*(1+Eingaben!$C$13)^C37</f>
        <v/>
      </c>
      <c r="Q37" s="43">
        <f>MAX(0,MIN(O37,Parameter!$C$5/12*E37-P37))</f>
        <v/>
      </c>
      <c r="R37" s="43">
        <f>IF(Eingaben!$C$42=2,0,MAX(0,Q37-Parameter!$C$7*E37)*Parameter!$C$54*12)</f>
        <v/>
      </c>
      <c r="S37" s="43">
        <f>IF(Eingaben!$C$42=2,0,IF(O37&gt;Parameter!$C$7*E37,Q37*Parameter!$C$59*12,0))</f>
        <v/>
      </c>
      <c r="T37" s="43">
        <f>R37+S37</f>
        <v/>
      </c>
      <c r="U37" s="43">
        <f>Ansparphase!$BL$57*Parameter!$C$9*12*(1+Eingaben!$C$13)^(Eingaben!$C$6-Eingaben!$C$5)*(1+Eingaben!$C$13)^29*F37</f>
        <v/>
      </c>
      <c r="V37" s="43">
        <f>U37*Parameter!$C$66</f>
        <v/>
      </c>
      <c r="W37" s="43">
        <f>IF(Eingaben!$C$42=2,0,U37*(Parameter!$C$53+Parameter!$C$59))</f>
        <v/>
      </c>
      <c r="X37" s="43">
        <f>MAX(0,G37-V37+N37-T37+W37)</f>
        <v/>
      </c>
      <c r="Y37" s="43">
        <f>MAX(0,(X37+IF(Eingaben!$C$14=3,Eingaben!$C$15,0))/Parameter!$C$57/D37)</f>
        <v/>
      </c>
      <c r="Z37" s="43">
        <f>Parameter!$C$57*D37*(IF(Y37&lt;=Parameter!$C$18,0,IF(Y37&lt;=Parameter!$C$19,(Parameter!$C$22*(Y37-Parameter!$C$18)/10000+Parameter!$C$23)*(Y37-Parameter!$C$18)/10000,IF(Y37&lt;=Parameter!$C$20,(Parameter!$C$24*(Y37-Parameter!$C$19)/10000+Parameter!$C$25)*(Y37-Parameter!$C$19)/10000+Parameter!$C$26,IF(Y37&lt;=Parameter!$C$21,0.42*Y37-Parameter!$C$27,0.45*Y37-Parameter!$C$28)))))</f>
        <v/>
      </c>
      <c r="AA37" s="43">
        <f>Z37+IF(Z37&lt;=(Parameter!$C$30*Parameter!$C$57*D37),0,MIN(Parameter!$C$29*Z37,Parameter!$C$31*(Z37-(Parameter!$C$30*Parameter!$C$57*D37))))+Eingaben!$C$16*Z37</f>
        <v/>
      </c>
      <c r="AB37" s="43">
        <f>MAX(0,G37-V37+N37/5-T37+W37)</f>
        <v/>
      </c>
      <c r="AC37" s="43">
        <f>MAX(0,(AB37+IF(Eingaben!$C$14=3,Eingaben!$C$15,0))/Parameter!$C$57/D37)</f>
        <v/>
      </c>
      <c r="AD37" s="43">
        <f>Parameter!$C$57*D37*(IF(AC37&lt;=Parameter!$C$18,0,IF(AC37&lt;=Parameter!$C$19,(Parameter!$C$22*(AC37-Parameter!$C$18)/10000+Parameter!$C$23)*(AC37-Parameter!$C$18)/10000,IF(AC37&lt;=Parameter!$C$20,(Parameter!$C$24*(AC37-Parameter!$C$19)/10000+Parameter!$C$25)*(AC37-Parameter!$C$19)/10000+Parameter!$C$26,IF(AC37&lt;=Parameter!$C$21,0.42*AC37-Parameter!$C$27,0.45*AC37-Parameter!$C$28)))))</f>
        <v/>
      </c>
      <c r="AE37" s="43">
        <f>AD37+IF(AD37&lt;=(Parameter!$C$30*Parameter!$C$57*D37),0,MIN(Parameter!$C$29*AD37,Parameter!$C$31*(AD37-(Parameter!$C$30*Parameter!$C$57*D37))))+Eingaben!$C$16*AD37</f>
        <v/>
      </c>
      <c r="AF37" s="43">
        <f>IF(AND(Eingaben!$C$34=1,Eingaben!$C$31=1,M37&gt;0),MIN(AA37-J37,5*(AE37-J37)),AA37-J37)</f>
        <v/>
      </c>
      <c r="AG37" s="43">
        <f>M37-T37-AF37-U37+W37</f>
        <v/>
      </c>
      <c r="AH37" s="43">
        <f>IF(Eingaben!$C$46=2,0,MAX(0,(AH36-AI36)*(1+Parameter!$C$61)))</f>
        <v/>
      </c>
      <c r="AI37" s="43">
        <f>IF(Eingaben!$C$46=1,IF(F37=0,0,MIN(AH37,Ansparphase!$BA$57*IF(29=0,Eingaben!$C$45,0)+(Ansparphase!$BA$57*(1-Eingaben!$C$45))*$CG$4)),Ansparphase!$BA$57*IF(29=0,Eingaben!$C$45,0)+(((Ansparphase!$BA$57*(1-Eingaben!$C$45))+(Ansparphase!$BB$57*(1-Eingaben!$C$45)))*Eingaben!$C$47/10000*12*(1+Eingaben!$C$48)^29*F37)*IF(((Ansparphase!$BA$57*(1-Eingaben!$C$45))+(Ansparphase!$BB$57*(1-Eingaben!$C$45)))=0,0,(Ansparphase!$BA$57*(1-Eingaben!$C$45))/((Ansparphase!$BA$57*(1-Eingaben!$C$45))+(Ansparphase!$BB$57*(1-Eingaben!$C$45)))))</f>
        <v/>
      </c>
      <c r="AJ37" s="43">
        <f>IF(Eingaben!$C$46=2,0,MAX(0,(AJ36-AK36)*(1+Parameter!$C$61)))</f>
        <v/>
      </c>
      <c r="AK37" s="43">
        <f>AO37+AP37</f>
        <v/>
      </c>
      <c r="AL37" s="43">
        <f>MAX(0,(AL36-AM36)*(1+Parameter!$C$62))</f>
        <v/>
      </c>
      <c r="AM37" s="43">
        <f>IF(F37=0,0,MIN(AL37,Ansparphase!$BC$57*$CG$5))</f>
        <v/>
      </c>
      <c r="AN37" s="43">
        <f>MAX(0,AM37*(1-IF(Ansparphase!$BC$57=0,1,MIN(1,Ansparphase!$BD$57/Ansparphase!$BC$57)))*(1-Parameter!$C$37))*Parameter!$C$36</f>
        <v/>
      </c>
      <c r="AO37" s="43">
        <f>IF(Eingaben!$C$46=1,IF(F37=0,0,MIN(AJ37,Ansparphase!$BB$57*IF(29=0,Eingaben!$C$45,0)+(Ansparphase!$BB$57*(1-Eingaben!$C$45))*$CG$4)),Ansparphase!$BB$57*IF(29=0,Eingaben!$C$45,0))</f>
        <v/>
      </c>
      <c r="AP37" s="43">
        <f>IF(Eingaben!$C$46=1,0,(((Ansparphase!$BA$57*(1-Eingaben!$C$45))+(Ansparphase!$BB$57*(1-Eingaben!$C$45)))*Eingaben!$C$47/10000*12*(1+Eingaben!$C$48)^29*F37)*IF(((Ansparphase!$BA$57*(1-Eingaben!$C$45))+(Ansparphase!$BB$57*(1-Eingaben!$C$45)))=0,0,(Ansparphase!$BB$57*(1-Eingaben!$C$45))/((Ansparphase!$BA$57*(1-Eingaben!$C$45))+(Ansparphase!$BB$57*(1-Eingaben!$C$45)))))</f>
        <v/>
      </c>
      <c r="AQ37" s="43">
        <f>IF(AND(Eingaben!$C$46=2,F37=0),((Ansparphase!$BA$57*(1-Eingaben!$C$45))+(Ansparphase!$BB$57*(1-Eingaben!$C$45)))*Eingaben!$C$47/10000*12*(1+Eingaben!$C$48)^29,0)</f>
        <v/>
      </c>
      <c r="AR37" s="43">
        <f>AI37+AO37*(1-IF(Ansparphase!$BB$57=0,1,MIN(1,$CG$7/Ansparphase!$BB$57)))*Parameter!$C$52+AP37*Parameter!$C$51</f>
        <v/>
      </c>
      <c r="AS37" s="43">
        <f>MAX(0,G37+AR37)</f>
        <v/>
      </c>
      <c r="AT37" s="43">
        <f>MAX(0,(AS37+IF(Eingaben!$C$14=3,Eingaben!$C$15,0))/Parameter!$C$57/D37)</f>
        <v/>
      </c>
      <c r="AU37" s="43">
        <f>Parameter!$C$57*D37*(IF(AT37&lt;=Parameter!$C$18,0,IF(AT37&lt;=Parameter!$C$19,(Parameter!$C$22*(AT37-Parameter!$C$18)/10000+Parameter!$C$23)*(AT37-Parameter!$C$18)/10000,IF(AT37&lt;=Parameter!$C$20,(Parameter!$C$24*(AT37-Parameter!$C$19)/10000+Parameter!$C$25)*(AT37-Parameter!$C$19)/10000+Parameter!$C$26,IF(AT37&lt;=Parameter!$C$21,0.42*AT37-Parameter!$C$27,0.45*AT37-Parameter!$C$28)))))</f>
        <v/>
      </c>
      <c r="AV37" s="43">
        <f>AU37+IF(AU37&lt;=(Parameter!$C$30*Parameter!$C$57*D37),0,MIN(Parameter!$C$29*AU37,Parameter!$C$31*(AU37-(Parameter!$C$30*Parameter!$C$57*D37))))+Eingaben!$C$16*AU37</f>
        <v/>
      </c>
      <c r="AW37" s="43">
        <f>AI37+AK37-(AV37-J37)+AM37-AN37</f>
        <v/>
      </c>
      <c r="AX37" s="43">
        <f>MAX(0,(AX36-AZ36)*(1+Parameter!$C$62))</f>
        <v/>
      </c>
      <c r="AY37" s="43">
        <f>MAX(0,AY36-AY36*IF(AX36=0,0,AZ36/AX36))</f>
        <v/>
      </c>
      <c r="AZ37" s="43">
        <f>IF(F37=0,0,MIN(AX37,Ansparphase!$BG$57*$CG$5))</f>
        <v/>
      </c>
      <c r="BA37" s="43">
        <f>AZ37-IF(AX37=0,0,AY37*AZ37/AX37)</f>
        <v/>
      </c>
      <c r="BB37" s="43">
        <f>MAX(0,BA37*(1-Parameter!$C$37)-Parameter!$C$67)*Parameter!$C$36</f>
        <v/>
      </c>
      <c r="BC37" s="43">
        <f>AZ37-BB37</f>
        <v/>
      </c>
      <c r="BD37" s="41">
        <f>1/(1+Eingaben!$C$40)^C37</f>
        <v/>
      </c>
      <c r="BE37" s="43">
        <f>IF(AND(Eingaben!$C$31=2,F37=0),(Ansparphase!$AY$57+Ansparphase!$AZ$57)*Eingaben!$C$32/10000*12*(1+Eingaben!$C$33)^29,0)</f>
        <v/>
      </c>
      <c r="BF37" s="41">
        <f>1/(1+Parameter!$C$68)^29</f>
        <v/>
      </c>
    </row>
    <row r="38">
      <c r="A38" s="30">
        <f>2026+C38</f>
        <v/>
      </c>
      <c r="B38" s="30">
        <f>Eingaben!$C$6+30</f>
        <v/>
      </c>
      <c r="C38" s="30">
        <f>B38-Eingaben!$C$5</f>
        <v/>
      </c>
      <c r="D38" s="38">
        <f>(1+Eingaben!$C$17)^C38</f>
        <v/>
      </c>
      <c r="E38" s="38">
        <f>(1+Eingaben!$C$13)^C38</f>
        <v/>
      </c>
      <c r="F38" s="30">
        <f>IF(B38&lt;=Eingaben!$C$7,1,0)</f>
        <v/>
      </c>
      <c r="G38" s="40">
        <f>Eingaben!$C$43*(1+Eingaben!$C$40)^C38</f>
        <v/>
      </c>
      <c r="H38" s="40">
        <f>MAX(0,(G38+IF(Eingaben!$C$14=3,Eingaben!$C$15,0))/Parameter!$C$57/D38)</f>
        <v/>
      </c>
      <c r="I38" s="40">
        <f>Parameter!$C$57*D38*(IF(H38&lt;=Parameter!$C$18,0,IF(H38&lt;=Parameter!$C$19,(Parameter!$C$22*(H38-Parameter!$C$18)/10000+Parameter!$C$23)*(H38-Parameter!$C$18)/10000,IF(H38&lt;=Parameter!$C$20,(Parameter!$C$24*(H38-Parameter!$C$19)/10000+Parameter!$C$25)*(H38-Parameter!$C$19)/10000+Parameter!$C$26,IF(H38&lt;=Parameter!$C$21,0.42*H38-Parameter!$C$27,0.45*H38-Parameter!$C$28)))))</f>
        <v/>
      </c>
      <c r="J38" s="40">
        <f>I38+IF(I38&lt;=(Parameter!$C$30*Parameter!$C$57*D38),0,MIN(Parameter!$C$29*I38,Parameter!$C$31*(I38-(Parameter!$C$30*Parameter!$C$57*D38))))+Eingaben!$C$16*I38</f>
        <v/>
      </c>
      <c r="K38" s="40">
        <f>IF(Eingaben!$C$31=1,IF(0=1,Ansparphase!$AY$57,0),(Ansparphase!$AY$57+Ansparphase!$AZ$57)*Eingaben!$C$32/10000*12*(1+Eingaben!$C$33)^30*F38*IF((Ansparphase!$AY$57+Ansparphase!$AZ$57)=0,0,Ansparphase!$AY$57/(Ansparphase!$AY$57+Ansparphase!$AZ$57)))</f>
        <v/>
      </c>
      <c r="L38" s="40">
        <f>IF(Eingaben!$C$31=1,IF(0=1,Ansparphase!$AZ$57,0),(Ansparphase!$AY$57+Ansparphase!$AZ$57)*Eingaben!$C$32/10000*12*(1+Eingaben!$C$33)^30*F38*IF((Ansparphase!$AY$57+Ansparphase!$AZ$57)=0,0,Ansparphase!$AZ$57/(Ansparphase!$AY$57+Ansparphase!$AZ$57)))</f>
        <v/>
      </c>
      <c r="M38" s="40">
        <f>K38+L38</f>
        <v/>
      </c>
      <c r="N38" s="40">
        <f>K38+L38*IF(Eingaben!$C$31=1,(1-IF(Ansparphase!$AZ$57=0,1,MIN(1,$CG$8/Ansparphase!$AZ$57)))*Parameter!$C$52,Parameter!$C$51)</f>
        <v/>
      </c>
      <c r="O38" s="40">
        <f>IF(Eingaben!$C$31=1,IF(30&lt;10,(Ansparphase!$AY$57+Ansparphase!$AZ$57)/120,0),M38/12)</f>
        <v/>
      </c>
      <c r="P38" s="40">
        <f>Eingaben!$C$44/12*(1+Eingaben!$C$13)^C38</f>
        <v/>
      </c>
      <c r="Q38" s="40">
        <f>MAX(0,MIN(O38,Parameter!$C$5/12*E38-P38))</f>
        <v/>
      </c>
      <c r="R38" s="40">
        <f>IF(Eingaben!$C$42=2,0,MAX(0,Q38-Parameter!$C$7*E38)*Parameter!$C$54*12)</f>
        <v/>
      </c>
      <c r="S38" s="40">
        <f>IF(Eingaben!$C$42=2,0,IF(O38&gt;Parameter!$C$7*E38,Q38*Parameter!$C$59*12,0))</f>
        <v/>
      </c>
      <c r="T38" s="40">
        <f>R38+S38</f>
        <v/>
      </c>
      <c r="U38" s="40">
        <f>Ansparphase!$BL$57*Parameter!$C$9*12*(1+Eingaben!$C$13)^(Eingaben!$C$6-Eingaben!$C$5)*(1+Eingaben!$C$13)^30*F38</f>
        <v/>
      </c>
      <c r="V38" s="40">
        <f>U38*Parameter!$C$66</f>
        <v/>
      </c>
      <c r="W38" s="40">
        <f>IF(Eingaben!$C$42=2,0,U38*(Parameter!$C$53+Parameter!$C$59))</f>
        <v/>
      </c>
      <c r="X38" s="40">
        <f>MAX(0,G38-V38+N38-T38+W38)</f>
        <v/>
      </c>
      <c r="Y38" s="40">
        <f>MAX(0,(X38+IF(Eingaben!$C$14=3,Eingaben!$C$15,0))/Parameter!$C$57/D38)</f>
        <v/>
      </c>
      <c r="Z38" s="40">
        <f>Parameter!$C$57*D38*(IF(Y38&lt;=Parameter!$C$18,0,IF(Y38&lt;=Parameter!$C$19,(Parameter!$C$22*(Y38-Parameter!$C$18)/10000+Parameter!$C$23)*(Y38-Parameter!$C$18)/10000,IF(Y38&lt;=Parameter!$C$20,(Parameter!$C$24*(Y38-Parameter!$C$19)/10000+Parameter!$C$25)*(Y38-Parameter!$C$19)/10000+Parameter!$C$26,IF(Y38&lt;=Parameter!$C$21,0.42*Y38-Parameter!$C$27,0.45*Y38-Parameter!$C$28)))))</f>
        <v/>
      </c>
      <c r="AA38" s="40">
        <f>Z38+IF(Z38&lt;=(Parameter!$C$30*Parameter!$C$57*D38),0,MIN(Parameter!$C$29*Z38,Parameter!$C$31*(Z38-(Parameter!$C$30*Parameter!$C$57*D38))))+Eingaben!$C$16*Z38</f>
        <v/>
      </c>
      <c r="AB38" s="40">
        <f>MAX(0,G38-V38+N38/5-T38+W38)</f>
        <v/>
      </c>
      <c r="AC38" s="40">
        <f>MAX(0,(AB38+IF(Eingaben!$C$14=3,Eingaben!$C$15,0))/Parameter!$C$57/D38)</f>
        <v/>
      </c>
      <c r="AD38" s="40">
        <f>Parameter!$C$57*D38*(IF(AC38&lt;=Parameter!$C$18,0,IF(AC38&lt;=Parameter!$C$19,(Parameter!$C$22*(AC38-Parameter!$C$18)/10000+Parameter!$C$23)*(AC38-Parameter!$C$18)/10000,IF(AC38&lt;=Parameter!$C$20,(Parameter!$C$24*(AC38-Parameter!$C$19)/10000+Parameter!$C$25)*(AC38-Parameter!$C$19)/10000+Parameter!$C$26,IF(AC38&lt;=Parameter!$C$21,0.42*AC38-Parameter!$C$27,0.45*AC38-Parameter!$C$28)))))</f>
        <v/>
      </c>
      <c r="AE38" s="40">
        <f>AD38+IF(AD38&lt;=(Parameter!$C$30*Parameter!$C$57*D38),0,MIN(Parameter!$C$29*AD38,Parameter!$C$31*(AD38-(Parameter!$C$30*Parameter!$C$57*D38))))+Eingaben!$C$16*AD38</f>
        <v/>
      </c>
      <c r="AF38" s="40">
        <f>IF(AND(Eingaben!$C$34=1,Eingaben!$C$31=1,M38&gt;0),MIN(AA38-J38,5*(AE38-J38)),AA38-J38)</f>
        <v/>
      </c>
      <c r="AG38" s="40">
        <f>M38-T38-AF38-U38+W38</f>
        <v/>
      </c>
      <c r="AH38" s="40">
        <f>IF(Eingaben!$C$46=2,0,MAX(0,(AH37-AI37)*(1+Parameter!$C$61)))</f>
        <v/>
      </c>
      <c r="AI38" s="40">
        <f>IF(Eingaben!$C$46=1,IF(F38=0,0,MIN(AH38,Ansparphase!$BA$57*IF(30=0,Eingaben!$C$45,0)+(Ansparphase!$BA$57*(1-Eingaben!$C$45))*$CG$4)),Ansparphase!$BA$57*IF(30=0,Eingaben!$C$45,0)+(((Ansparphase!$BA$57*(1-Eingaben!$C$45))+(Ansparphase!$BB$57*(1-Eingaben!$C$45)))*Eingaben!$C$47/10000*12*(1+Eingaben!$C$48)^30*F38)*IF(((Ansparphase!$BA$57*(1-Eingaben!$C$45))+(Ansparphase!$BB$57*(1-Eingaben!$C$45)))=0,0,(Ansparphase!$BA$57*(1-Eingaben!$C$45))/((Ansparphase!$BA$57*(1-Eingaben!$C$45))+(Ansparphase!$BB$57*(1-Eingaben!$C$45)))))</f>
        <v/>
      </c>
      <c r="AJ38" s="40">
        <f>IF(Eingaben!$C$46=2,0,MAX(0,(AJ37-AK37)*(1+Parameter!$C$61)))</f>
        <v/>
      </c>
      <c r="AK38" s="40">
        <f>AO38+AP38</f>
        <v/>
      </c>
      <c r="AL38" s="40">
        <f>MAX(0,(AL37-AM37)*(1+Parameter!$C$62))</f>
        <v/>
      </c>
      <c r="AM38" s="40">
        <f>IF(F38=0,0,MIN(AL38,Ansparphase!$BC$57*$CG$5))</f>
        <v/>
      </c>
      <c r="AN38" s="40">
        <f>MAX(0,AM38*(1-IF(Ansparphase!$BC$57=0,1,MIN(1,Ansparphase!$BD$57/Ansparphase!$BC$57)))*(1-Parameter!$C$37))*Parameter!$C$36</f>
        <v/>
      </c>
      <c r="AO38" s="40">
        <f>IF(Eingaben!$C$46=1,IF(F38=0,0,MIN(AJ38,Ansparphase!$BB$57*IF(30=0,Eingaben!$C$45,0)+(Ansparphase!$BB$57*(1-Eingaben!$C$45))*$CG$4)),Ansparphase!$BB$57*IF(30=0,Eingaben!$C$45,0))</f>
        <v/>
      </c>
      <c r="AP38" s="40">
        <f>IF(Eingaben!$C$46=1,0,(((Ansparphase!$BA$57*(1-Eingaben!$C$45))+(Ansparphase!$BB$57*(1-Eingaben!$C$45)))*Eingaben!$C$47/10000*12*(1+Eingaben!$C$48)^30*F38)*IF(((Ansparphase!$BA$57*(1-Eingaben!$C$45))+(Ansparphase!$BB$57*(1-Eingaben!$C$45)))=0,0,(Ansparphase!$BB$57*(1-Eingaben!$C$45))/((Ansparphase!$BA$57*(1-Eingaben!$C$45))+(Ansparphase!$BB$57*(1-Eingaben!$C$45)))))</f>
        <v/>
      </c>
      <c r="AQ38" s="40">
        <f>IF(AND(Eingaben!$C$46=2,F38=0),((Ansparphase!$BA$57*(1-Eingaben!$C$45))+(Ansparphase!$BB$57*(1-Eingaben!$C$45)))*Eingaben!$C$47/10000*12*(1+Eingaben!$C$48)^30,0)</f>
        <v/>
      </c>
      <c r="AR38" s="40">
        <f>AI38+AO38*(1-IF(Ansparphase!$BB$57=0,1,MIN(1,$CG$7/Ansparphase!$BB$57)))*Parameter!$C$52+AP38*Parameter!$C$51</f>
        <v/>
      </c>
      <c r="AS38" s="40">
        <f>MAX(0,G38+AR38)</f>
        <v/>
      </c>
      <c r="AT38" s="40">
        <f>MAX(0,(AS38+IF(Eingaben!$C$14=3,Eingaben!$C$15,0))/Parameter!$C$57/D38)</f>
        <v/>
      </c>
      <c r="AU38" s="40">
        <f>Parameter!$C$57*D38*(IF(AT38&lt;=Parameter!$C$18,0,IF(AT38&lt;=Parameter!$C$19,(Parameter!$C$22*(AT38-Parameter!$C$18)/10000+Parameter!$C$23)*(AT38-Parameter!$C$18)/10000,IF(AT38&lt;=Parameter!$C$20,(Parameter!$C$24*(AT38-Parameter!$C$19)/10000+Parameter!$C$25)*(AT38-Parameter!$C$19)/10000+Parameter!$C$26,IF(AT38&lt;=Parameter!$C$21,0.42*AT38-Parameter!$C$27,0.45*AT38-Parameter!$C$28)))))</f>
        <v/>
      </c>
      <c r="AV38" s="40">
        <f>AU38+IF(AU38&lt;=(Parameter!$C$30*Parameter!$C$57*D38),0,MIN(Parameter!$C$29*AU38,Parameter!$C$31*(AU38-(Parameter!$C$30*Parameter!$C$57*D38))))+Eingaben!$C$16*AU38</f>
        <v/>
      </c>
      <c r="AW38" s="40">
        <f>AI38+AK38-(AV38-J38)+AM38-AN38</f>
        <v/>
      </c>
      <c r="AX38" s="40">
        <f>MAX(0,(AX37-AZ37)*(1+Parameter!$C$62))</f>
        <v/>
      </c>
      <c r="AY38" s="40">
        <f>MAX(0,AY37-AY37*IF(AX37=0,0,AZ37/AX37))</f>
        <v/>
      </c>
      <c r="AZ38" s="40">
        <f>IF(F38=0,0,MIN(AX38,Ansparphase!$BG$57*$CG$5))</f>
        <v/>
      </c>
      <c r="BA38" s="40">
        <f>AZ38-IF(AX38=0,0,AY38*AZ38/AX38)</f>
        <v/>
      </c>
      <c r="BB38" s="40">
        <f>MAX(0,BA38*(1-Parameter!$C$37)-Parameter!$C$67)*Parameter!$C$36</f>
        <v/>
      </c>
      <c r="BC38" s="40">
        <f>AZ38-BB38</f>
        <v/>
      </c>
      <c r="BD38" s="38">
        <f>1/(1+Eingaben!$C$40)^C38</f>
        <v/>
      </c>
      <c r="BE38" s="40">
        <f>IF(AND(Eingaben!$C$31=2,F38=0),(Ansparphase!$AY$57+Ansparphase!$AZ$57)*Eingaben!$C$32/10000*12*(1+Eingaben!$C$33)^30,0)</f>
        <v/>
      </c>
      <c r="BF38" s="38">
        <f>1/(1+Parameter!$C$68)^30</f>
        <v/>
      </c>
    </row>
    <row r="39">
      <c r="A39" s="32">
        <f>2026+C39</f>
        <v/>
      </c>
      <c r="B39" s="32">
        <f>Eingaben!$C$6+31</f>
        <v/>
      </c>
      <c r="C39" s="32">
        <f>B39-Eingaben!$C$5</f>
        <v/>
      </c>
      <c r="D39" s="41">
        <f>(1+Eingaben!$C$17)^C39</f>
        <v/>
      </c>
      <c r="E39" s="41">
        <f>(1+Eingaben!$C$13)^C39</f>
        <v/>
      </c>
      <c r="F39" s="32">
        <f>IF(B39&lt;=Eingaben!$C$7,1,0)</f>
        <v/>
      </c>
      <c r="G39" s="43">
        <f>Eingaben!$C$43*(1+Eingaben!$C$40)^C39</f>
        <v/>
      </c>
      <c r="H39" s="43">
        <f>MAX(0,(G39+IF(Eingaben!$C$14=3,Eingaben!$C$15,0))/Parameter!$C$57/D39)</f>
        <v/>
      </c>
      <c r="I39" s="43">
        <f>Parameter!$C$57*D39*(IF(H39&lt;=Parameter!$C$18,0,IF(H39&lt;=Parameter!$C$19,(Parameter!$C$22*(H39-Parameter!$C$18)/10000+Parameter!$C$23)*(H39-Parameter!$C$18)/10000,IF(H39&lt;=Parameter!$C$20,(Parameter!$C$24*(H39-Parameter!$C$19)/10000+Parameter!$C$25)*(H39-Parameter!$C$19)/10000+Parameter!$C$26,IF(H39&lt;=Parameter!$C$21,0.42*H39-Parameter!$C$27,0.45*H39-Parameter!$C$28)))))</f>
        <v/>
      </c>
      <c r="J39" s="43">
        <f>I39+IF(I39&lt;=(Parameter!$C$30*Parameter!$C$57*D39),0,MIN(Parameter!$C$29*I39,Parameter!$C$31*(I39-(Parameter!$C$30*Parameter!$C$57*D39))))+Eingaben!$C$16*I39</f>
        <v/>
      </c>
      <c r="K39" s="43">
        <f>IF(Eingaben!$C$31=1,IF(0=1,Ansparphase!$AY$57,0),(Ansparphase!$AY$57+Ansparphase!$AZ$57)*Eingaben!$C$32/10000*12*(1+Eingaben!$C$33)^31*F39*IF((Ansparphase!$AY$57+Ansparphase!$AZ$57)=0,0,Ansparphase!$AY$57/(Ansparphase!$AY$57+Ansparphase!$AZ$57)))</f>
        <v/>
      </c>
      <c r="L39" s="43">
        <f>IF(Eingaben!$C$31=1,IF(0=1,Ansparphase!$AZ$57,0),(Ansparphase!$AY$57+Ansparphase!$AZ$57)*Eingaben!$C$32/10000*12*(1+Eingaben!$C$33)^31*F39*IF((Ansparphase!$AY$57+Ansparphase!$AZ$57)=0,0,Ansparphase!$AZ$57/(Ansparphase!$AY$57+Ansparphase!$AZ$57)))</f>
        <v/>
      </c>
      <c r="M39" s="43">
        <f>K39+L39</f>
        <v/>
      </c>
      <c r="N39" s="43">
        <f>K39+L39*IF(Eingaben!$C$31=1,(1-IF(Ansparphase!$AZ$57=0,1,MIN(1,$CG$8/Ansparphase!$AZ$57)))*Parameter!$C$52,Parameter!$C$51)</f>
        <v/>
      </c>
      <c r="O39" s="43">
        <f>IF(Eingaben!$C$31=1,IF(31&lt;10,(Ansparphase!$AY$57+Ansparphase!$AZ$57)/120,0),M39/12)</f>
        <v/>
      </c>
      <c r="P39" s="43">
        <f>Eingaben!$C$44/12*(1+Eingaben!$C$13)^C39</f>
        <v/>
      </c>
      <c r="Q39" s="43">
        <f>MAX(0,MIN(O39,Parameter!$C$5/12*E39-P39))</f>
        <v/>
      </c>
      <c r="R39" s="43">
        <f>IF(Eingaben!$C$42=2,0,MAX(0,Q39-Parameter!$C$7*E39)*Parameter!$C$54*12)</f>
        <v/>
      </c>
      <c r="S39" s="43">
        <f>IF(Eingaben!$C$42=2,0,IF(O39&gt;Parameter!$C$7*E39,Q39*Parameter!$C$59*12,0))</f>
        <v/>
      </c>
      <c r="T39" s="43">
        <f>R39+S39</f>
        <v/>
      </c>
      <c r="U39" s="43">
        <f>Ansparphase!$BL$57*Parameter!$C$9*12*(1+Eingaben!$C$13)^(Eingaben!$C$6-Eingaben!$C$5)*(1+Eingaben!$C$13)^31*F39</f>
        <v/>
      </c>
      <c r="V39" s="43">
        <f>U39*Parameter!$C$66</f>
        <v/>
      </c>
      <c r="W39" s="43">
        <f>IF(Eingaben!$C$42=2,0,U39*(Parameter!$C$53+Parameter!$C$59))</f>
        <v/>
      </c>
      <c r="X39" s="43">
        <f>MAX(0,G39-V39+N39-T39+W39)</f>
        <v/>
      </c>
      <c r="Y39" s="43">
        <f>MAX(0,(X39+IF(Eingaben!$C$14=3,Eingaben!$C$15,0))/Parameter!$C$57/D39)</f>
        <v/>
      </c>
      <c r="Z39" s="43">
        <f>Parameter!$C$57*D39*(IF(Y39&lt;=Parameter!$C$18,0,IF(Y39&lt;=Parameter!$C$19,(Parameter!$C$22*(Y39-Parameter!$C$18)/10000+Parameter!$C$23)*(Y39-Parameter!$C$18)/10000,IF(Y39&lt;=Parameter!$C$20,(Parameter!$C$24*(Y39-Parameter!$C$19)/10000+Parameter!$C$25)*(Y39-Parameter!$C$19)/10000+Parameter!$C$26,IF(Y39&lt;=Parameter!$C$21,0.42*Y39-Parameter!$C$27,0.45*Y39-Parameter!$C$28)))))</f>
        <v/>
      </c>
      <c r="AA39" s="43">
        <f>Z39+IF(Z39&lt;=(Parameter!$C$30*Parameter!$C$57*D39),0,MIN(Parameter!$C$29*Z39,Parameter!$C$31*(Z39-(Parameter!$C$30*Parameter!$C$57*D39))))+Eingaben!$C$16*Z39</f>
        <v/>
      </c>
      <c r="AB39" s="43">
        <f>MAX(0,G39-V39+N39/5-T39+W39)</f>
        <v/>
      </c>
      <c r="AC39" s="43">
        <f>MAX(0,(AB39+IF(Eingaben!$C$14=3,Eingaben!$C$15,0))/Parameter!$C$57/D39)</f>
        <v/>
      </c>
      <c r="AD39" s="43">
        <f>Parameter!$C$57*D39*(IF(AC39&lt;=Parameter!$C$18,0,IF(AC39&lt;=Parameter!$C$19,(Parameter!$C$22*(AC39-Parameter!$C$18)/10000+Parameter!$C$23)*(AC39-Parameter!$C$18)/10000,IF(AC39&lt;=Parameter!$C$20,(Parameter!$C$24*(AC39-Parameter!$C$19)/10000+Parameter!$C$25)*(AC39-Parameter!$C$19)/10000+Parameter!$C$26,IF(AC39&lt;=Parameter!$C$21,0.42*AC39-Parameter!$C$27,0.45*AC39-Parameter!$C$28)))))</f>
        <v/>
      </c>
      <c r="AE39" s="43">
        <f>AD39+IF(AD39&lt;=(Parameter!$C$30*Parameter!$C$57*D39),0,MIN(Parameter!$C$29*AD39,Parameter!$C$31*(AD39-(Parameter!$C$30*Parameter!$C$57*D39))))+Eingaben!$C$16*AD39</f>
        <v/>
      </c>
      <c r="AF39" s="43">
        <f>IF(AND(Eingaben!$C$34=1,Eingaben!$C$31=1,M39&gt;0),MIN(AA39-J39,5*(AE39-J39)),AA39-J39)</f>
        <v/>
      </c>
      <c r="AG39" s="43">
        <f>M39-T39-AF39-U39+W39</f>
        <v/>
      </c>
      <c r="AH39" s="43">
        <f>IF(Eingaben!$C$46=2,0,MAX(0,(AH38-AI38)*(1+Parameter!$C$61)))</f>
        <v/>
      </c>
      <c r="AI39" s="43">
        <f>IF(Eingaben!$C$46=1,IF(F39=0,0,MIN(AH39,Ansparphase!$BA$57*IF(31=0,Eingaben!$C$45,0)+(Ansparphase!$BA$57*(1-Eingaben!$C$45))*$CG$4)),Ansparphase!$BA$57*IF(31=0,Eingaben!$C$45,0)+(((Ansparphase!$BA$57*(1-Eingaben!$C$45))+(Ansparphase!$BB$57*(1-Eingaben!$C$45)))*Eingaben!$C$47/10000*12*(1+Eingaben!$C$48)^31*F39)*IF(((Ansparphase!$BA$57*(1-Eingaben!$C$45))+(Ansparphase!$BB$57*(1-Eingaben!$C$45)))=0,0,(Ansparphase!$BA$57*(1-Eingaben!$C$45))/((Ansparphase!$BA$57*(1-Eingaben!$C$45))+(Ansparphase!$BB$57*(1-Eingaben!$C$45)))))</f>
        <v/>
      </c>
      <c r="AJ39" s="43">
        <f>IF(Eingaben!$C$46=2,0,MAX(0,(AJ38-AK38)*(1+Parameter!$C$61)))</f>
        <v/>
      </c>
      <c r="AK39" s="43">
        <f>AO39+AP39</f>
        <v/>
      </c>
      <c r="AL39" s="43">
        <f>MAX(0,(AL38-AM38)*(1+Parameter!$C$62))</f>
        <v/>
      </c>
      <c r="AM39" s="43">
        <f>IF(F39=0,0,MIN(AL39,Ansparphase!$BC$57*$CG$5))</f>
        <v/>
      </c>
      <c r="AN39" s="43">
        <f>MAX(0,AM39*(1-IF(Ansparphase!$BC$57=0,1,MIN(1,Ansparphase!$BD$57/Ansparphase!$BC$57)))*(1-Parameter!$C$37))*Parameter!$C$36</f>
        <v/>
      </c>
      <c r="AO39" s="43">
        <f>IF(Eingaben!$C$46=1,IF(F39=0,0,MIN(AJ39,Ansparphase!$BB$57*IF(31=0,Eingaben!$C$45,0)+(Ansparphase!$BB$57*(1-Eingaben!$C$45))*$CG$4)),Ansparphase!$BB$57*IF(31=0,Eingaben!$C$45,0))</f>
        <v/>
      </c>
      <c r="AP39" s="43">
        <f>IF(Eingaben!$C$46=1,0,(((Ansparphase!$BA$57*(1-Eingaben!$C$45))+(Ansparphase!$BB$57*(1-Eingaben!$C$45)))*Eingaben!$C$47/10000*12*(1+Eingaben!$C$48)^31*F39)*IF(((Ansparphase!$BA$57*(1-Eingaben!$C$45))+(Ansparphase!$BB$57*(1-Eingaben!$C$45)))=0,0,(Ansparphase!$BB$57*(1-Eingaben!$C$45))/((Ansparphase!$BA$57*(1-Eingaben!$C$45))+(Ansparphase!$BB$57*(1-Eingaben!$C$45)))))</f>
        <v/>
      </c>
      <c r="AQ39" s="43">
        <f>IF(AND(Eingaben!$C$46=2,F39=0),((Ansparphase!$BA$57*(1-Eingaben!$C$45))+(Ansparphase!$BB$57*(1-Eingaben!$C$45)))*Eingaben!$C$47/10000*12*(1+Eingaben!$C$48)^31,0)</f>
        <v/>
      </c>
      <c r="AR39" s="43">
        <f>AI39+AO39*(1-IF(Ansparphase!$BB$57=0,1,MIN(1,$CG$7/Ansparphase!$BB$57)))*Parameter!$C$52+AP39*Parameter!$C$51</f>
        <v/>
      </c>
      <c r="AS39" s="43">
        <f>MAX(0,G39+AR39)</f>
        <v/>
      </c>
      <c r="AT39" s="43">
        <f>MAX(0,(AS39+IF(Eingaben!$C$14=3,Eingaben!$C$15,0))/Parameter!$C$57/D39)</f>
        <v/>
      </c>
      <c r="AU39" s="43">
        <f>Parameter!$C$57*D39*(IF(AT39&lt;=Parameter!$C$18,0,IF(AT39&lt;=Parameter!$C$19,(Parameter!$C$22*(AT39-Parameter!$C$18)/10000+Parameter!$C$23)*(AT39-Parameter!$C$18)/10000,IF(AT39&lt;=Parameter!$C$20,(Parameter!$C$24*(AT39-Parameter!$C$19)/10000+Parameter!$C$25)*(AT39-Parameter!$C$19)/10000+Parameter!$C$26,IF(AT39&lt;=Parameter!$C$21,0.42*AT39-Parameter!$C$27,0.45*AT39-Parameter!$C$28)))))</f>
        <v/>
      </c>
      <c r="AV39" s="43">
        <f>AU39+IF(AU39&lt;=(Parameter!$C$30*Parameter!$C$57*D39),0,MIN(Parameter!$C$29*AU39,Parameter!$C$31*(AU39-(Parameter!$C$30*Parameter!$C$57*D39))))+Eingaben!$C$16*AU39</f>
        <v/>
      </c>
      <c r="AW39" s="43">
        <f>AI39+AK39-(AV39-J39)+AM39-AN39</f>
        <v/>
      </c>
      <c r="AX39" s="43">
        <f>MAX(0,(AX38-AZ38)*(1+Parameter!$C$62))</f>
        <v/>
      </c>
      <c r="AY39" s="43">
        <f>MAX(0,AY38-AY38*IF(AX38=0,0,AZ38/AX38))</f>
        <v/>
      </c>
      <c r="AZ39" s="43">
        <f>IF(F39=0,0,MIN(AX39,Ansparphase!$BG$57*$CG$5))</f>
        <v/>
      </c>
      <c r="BA39" s="43">
        <f>AZ39-IF(AX39=0,0,AY39*AZ39/AX39)</f>
        <v/>
      </c>
      <c r="BB39" s="43">
        <f>MAX(0,BA39*(1-Parameter!$C$37)-Parameter!$C$67)*Parameter!$C$36</f>
        <v/>
      </c>
      <c r="BC39" s="43">
        <f>AZ39-BB39</f>
        <v/>
      </c>
      <c r="BD39" s="41">
        <f>1/(1+Eingaben!$C$40)^C39</f>
        <v/>
      </c>
      <c r="BE39" s="43">
        <f>IF(AND(Eingaben!$C$31=2,F39=0),(Ansparphase!$AY$57+Ansparphase!$AZ$57)*Eingaben!$C$32/10000*12*(1+Eingaben!$C$33)^31,0)</f>
        <v/>
      </c>
      <c r="BF39" s="41">
        <f>1/(1+Parameter!$C$68)^31</f>
        <v/>
      </c>
    </row>
    <row r="40">
      <c r="A40" s="30">
        <f>2026+C40</f>
        <v/>
      </c>
      <c r="B40" s="30">
        <f>Eingaben!$C$6+32</f>
        <v/>
      </c>
      <c r="C40" s="30">
        <f>B40-Eingaben!$C$5</f>
        <v/>
      </c>
      <c r="D40" s="38">
        <f>(1+Eingaben!$C$17)^C40</f>
        <v/>
      </c>
      <c r="E40" s="38">
        <f>(1+Eingaben!$C$13)^C40</f>
        <v/>
      </c>
      <c r="F40" s="30">
        <f>IF(B40&lt;=Eingaben!$C$7,1,0)</f>
        <v/>
      </c>
      <c r="G40" s="40">
        <f>Eingaben!$C$43*(1+Eingaben!$C$40)^C40</f>
        <v/>
      </c>
      <c r="H40" s="40">
        <f>MAX(0,(G40+IF(Eingaben!$C$14=3,Eingaben!$C$15,0))/Parameter!$C$57/D40)</f>
        <v/>
      </c>
      <c r="I40" s="40">
        <f>Parameter!$C$57*D40*(IF(H40&lt;=Parameter!$C$18,0,IF(H40&lt;=Parameter!$C$19,(Parameter!$C$22*(H40-Parameter!$C$18)/10000+Parameter!$C$23)*(H40-Parameter!$C$18)/10000,IF(H40&lt;=Parameter!$C$20,(Parameter!$C$24*(H40-Parameter!$C$19)/10000+Parameter!$C$25)*(H40-Parameter!$C$19)/10000+Parameter!$C$26,IF(H40&lt;=Parameter!$C$21,0.42*H40-Parameter!$C$27,0.45*H40-Parameter!$C$28)))))</f>
        <v/>
      </c>
      <c r="J40" s="40">
        <f>I40+IF(I40&lt;=(Parameter!$C$30*Parameter!$C$57*D40),0,MIN(Parameter!$C$29*I40,Parameter!$C$31*(I40-(Parameter!$C$30*Parameter!$C$57*D40))))+Eingaben!$C$16*I40</f>
        <v/>
      </c>
      <c r="K40" s="40">
        <f>IF(Eingaben!$C$31=1,IF(0=1,Ansparphase!$AY$57,0),(Ansparphase!$AY$57+Ansparphase!$AZ$57)*Eingaben!$C$32/10000*12*(1+Eingaben!$C$33)^32*F40*IF((Ansparphase!$AY$57+Ansparphase!$AZ$57)=0,0,Ansparphase!$AY$57/(Ansparphase!$AY$57+Ansparphase!$AZ$57)))</f>
        <v/>
      </c>
      <c r="L40" s="40">
        <f>IF(Eingaben!$C$31=1,IF(0=1,Ansparphase!$AZ$57,0),(Ansparphase!$AY$57+Ansparphase!$AZ$57)*Eingaben!$C$32/10000*12*(1+Eingaben!$C$33)^32*F40*IF((Ansparphase!$AY$57+Ansparphase!$AZ$57)=0,0,Ansparphase!$AZ$57/(Ansparphase!$AY$57+Ansparphase!$AZ$57)))</f>
        <v/>
      </c>
      <c r="M40" s="40">
        <f>K40+L40</f>
        <v/>
      </c>
      <c r="N40" s="40">
        <f>K40+L40*IF(Eingaben!$C$31=1,(1-IF(Ansparphase!$AZ$57=0,1,MIN(1,$CG$8/Ansparphase!$AZ$57)))*Parameter!$C$52,Parameter!$C$51)</f>
        <v/>
      </c>
      <c r="O40" s="40">
        <f>IF(Eingaben!$C$31=1,IF(32&lt;10,(Ansparphase!$AY$57+Ansparphase!$AZ$57)/120,0),M40/12)</f>
        <v/>
      </c>
      <c r="P40" s="40">
        <f>Eingaben!$C$44/12*(1+Eingaben!$C$13)^C40</f>
        <v/>
      </c>
      <c r="Q40" s="40">
        <f>MAX(0,MIN(O40,Parameter!$C$5/12*E40-P40))</f>
        <v/>
      </c>
      <c r="R40" s="40">
        <f>IF(Eingaben!$C$42=2,0,MAX(0,Q40-Parameter!$C$7*E40)*Parameter!$C$54*12)</f>
        <v/>
      </c>
      <c r="S40" s="40">
        <f>IF(Eingaben!$C$42=2,0,IF(O40&gt;Parameter!$C$7*E40,Q40*Parameter!$C$59*12,0))</f>
        <v/>
      </c>
      <c r="T40" s="40">
        <f>R40+S40</f>
        <v/>
      </c>
      <c r="U40" s="40">
        <f>Ansparphase!$BL$57*Parameter!$C$9*12*(1+Eingaben!$C$13)^(Eingaben!$C$6-Eingaben!$C$5)*(1+Eingaben!$C$13)^32*F40</f>
        <v/>
      </c>
      <c r="V40" s="40">
        <f>U40*Parameter!$C$66</f>
        <v/>
      </c>
      <c r="W40" s="40">
        <f>IF(Eingaben!$C$42=2,0,U40*(Parameter!$C$53+Parameter!$C$59))</f>
        <v/>
      </c>
      <c r="X40" s="40">
        <f>MAX(0,G40-V40+N40-T40+W40)</f>
        <v/>
      </c>
      <c r="Y40" s="40">
        <f>MAX(0,(X40+IF(Eingaben!$C$14=3,Eingaben!$C$15,0))/Parameter!$C$57/D40)</f>
        <v/>
      </c>
      <c r="Z40" s="40">
        <f>Parameter!$C$57*D40*(IF(Y40&lt;=Parameter!$C$18,0,IF(Y40&lt;=Parameter!$C$19,(Parameter!$C$22*(Y40-Parameter!$C$18)/10000+Parameter!$C$23)*(Y40-Parameter!$C$18)/10000,IF(Y40&lt;=Parameter!$C$20,(Parameter!$C$24*(Y40-Parameter!$C$19)/10000+Parameter!$C$25)*(Y40-Parameter!$C$19)/10000+Parameter!$C$26,IF(Y40&lt;=Parameter!$C$21,0.42*Y40-Parameter!$C$27,0.45*Y40-Parameter!$C$28)))))</f>
        <v/>
      </c>
      <c r="AA40" s="40">
        <f>Z40+IF(Z40&lt;=(Parameter!$C$30*Parameter!$C$57*D40),0,MIN(Parameter!$C$29*Z40,Parameter!$C$31*(Z40-(Parameter!$C$30*Parameter!$C$57*D40))))+Eingaben!$C$16*Z40</f>
        <v/>
      </c>
      <c r="AB40" s="40">
        <f>MAX(0,G40-V40+N40/5-T40+W40)</f>
        <v/>
      </c>
      <c r="AC40" s="40">
        <f>MAX(0,(AB40+IF(Eingaben!$C$14=3,Eingaben!$C$15,0))/Parameter!$C$57/D40)</f>
        <v/>
      </c>
      <c r="AD40" s="40">
        <f>Parameter!$C$57*D40*(IF(AC40&lt;=Parameter!$C$18,0,IF(AC40&lt;=Parameter!$C$19,(Parameter!$C$22*(AC40-Parameter!$C$18)/10000+Parameter!$C$23)*(AC40-Parameter!$C$18)/10000,IF(AC40&lt;=Parameter!$C$20,(Parameter!$C$24*(AC40-Parameter!$C$19)/10000+Parameter!$C$25)*(AC40-Parameter!$C$19)/10000+Parameter!$C$26,IF(AC40&lt;=Parameter!$C$21,0.42*AC40-Parameter!$C$27,0.45*AC40-Parameter!$C$28)))))</f>
        <v/>
      </c>
      <c r="AE40" s="40">
        <f>AD40+IF(AD40&lt;=(Parameter!$C$30*Parameter!$C$57*D40),0,MIN(Parameter!$C$29*AD40,Parameter!$C$31*(AD40-(Parameter!$C$30*Parameter!$C$57*D40))))+Eingaben!$C$16*AD40</f>
        <v/>
      </c>
      <c r="AF40" s="40">
        <f>IF(AND(Eingaben!$C$34=1,Eingaben!$C$31=1,M40&gt;0),MIN(AA40-J40,5*(AE40-J40)),AA40-J40)</f>
        <v/>
      </c>
      <c r="AG40" s="40">
        <f>M40-T40-AF40-U40+W40</f>
        <v/>
      </c>
      <c r="AH40" s="40">
        <f>IF(Eingaben!$C$46=2,0,MAX(0,(AH39-AI39)*(1+Parameter!$C$61)))</f>
        <v/>
      </c>
      <c r="AI40" s="40">
        <f>IF(Eingaben!$C$46=1,IF(F40=0,0,MIN(AH40,Ansparphase!$BA$57*IF(32=0,Eingaben!$C$45,0)+(Ansparphase!$BA$57*(1-Eingaben!$C$45))*$CG$4)),Ansparphase!$BA$57*IF(32=0,Eingaben!$C$45,0)+(((Ansparphase!$BA$57*(1-Eingaben!$C$45))+(Ansparphase!$BB$57*(1-Eingaben!$C$45)))*Eingaben!$C$47/10000*12*(1+Eingaben!$C$48)^32*F40)*IF(((Ansparphase!$BA$57*(1-Eingaben!$C$45))+(Ansparphase!$BB$57*(1-Eingaben!$C$45)))=0,0,(Ansparphase!$BA$57*(1-Eingaben!$C$45))/((Ansparphase!$BA$57*(1-Eingaben!$C$45))+(Ansparphase!$BB$57*(1-Eingaben!$C$45)))))</f>
        <v/>
      </c>
      <c r="AJ40" s="40">
        <f>IF(Eingaben!$C$46=2,0,MAX(0,(AJ39-AK39)*(1+Parameter!$C$61)))</f>
        <v/>
      </c>
      <c r="AK40" s="40">
        <f>AO40+AP40</f>
        <v/>
      </c>
      <c r="AL40" s="40">
        <f>MAX(0,(AL39-AM39)*(1+Parameter!$C$62))</f>
        <v/>
      </c>
      <c r="AM40" s="40">
        <f>IF(F40=0,0,MIN(AL40,Ansparphase!$BC$57*$CG$5))</f>
        <v/>
      </c>
      <c r="AN40" s="40">
        <f>MAX(0,AM40*(1-IF(Ansparphase!$BC$57=0,1,MIN(1,Ansparphase!$BD$57/Ansparphase!$BC$57)))*(1-Parameter!$C$37))*Parameter!$C$36</f>
        <v/>
      </c>
      <c r="AO40" s="40">
        <f>IF(Eingaben!$C$46=1,IF(F40=0,0,MIN(AJ40,Ansparphase!$BB$57*IF(32=0,Eingaben!$C$45,0)+(Ansparphase!$BB$57*(1-Eingaben!$C$45))*$CG$4)),Ansparphase!$BB$57*IF(32=0,Eingaben!$C$45,0))</f>
        <v/>
      </c>
      <c r="AP40" s="40">
        <f>IF(Eingaben!$C$46=1,0,(((Ansparphase!$BA$57*(1-Eingaben!$C$45))+(Ansparphase!$BB$57*(1-Eingaben!$C$45)))*Eingaben!$C$47/10000*12*(1+Eingaben!$C$48)^32*F40)*IF(((Ansparphase!$BA$57*(1-Eingaben!$C$45))+(Ansparphase!$BB$57*(1-Eingaben!$C$45)))=0,0,(Ansparphase!$BB$57*(1-Eingaben!$C$45))/((Ansparphase!$BA$57*(1-Eingaben!$C$45))+(Ansparphase!$BB$57*(1-Eingaben!$C$45)))))</f>
        <v/>
      </c>
      <c r="AQ40" s="40">
        <f>IF(AND(Eingaben!$C$46=2,F40=0),((Ansparphase!$BA$57*(1-Eingaben!$C$45))+(Ansparphase!$BB$57*(1-Eingaben!$C$45)))*Eingaben!$C$47/10000*12*(1+Eingaben!$C$48)^32,0)</f>
        <v/>
      </c>
      <c r="AR40" s="40">
        <f>AI40+AO40*(1-IF(Ansparphase!$BB$57=0,1,MIN(1,$CG$7/Ansparphase!$BB$57)))*Parameter!$C$52+AP40*Parameter!$C$51</f>
        <v/>
      </c>
      <c r="AS40" s="40">
        <f>MAX(0,G40+AR40)</f>
        <v/>
      </c>
      <c r="AT40" s="40">
        <f>MAX(0,(AS40+IF(Eingaben!$C$14=3,Eingaben!$C$15,0))/Parameter!$C$57/D40)</f>
        <v/>
      </c>
      <c r="AU40" s="40">
        <f>Parameter!$C$57*D40*(IF(AT40&lt;=Parameter!$C$18,0,IF(AT40&lt;=Parameter!$C$19,(Parameter!$C$22*(AT40-Parameter!$C$18)/10000+Parameter!$C$23)*(AT40-Parameter!$C$18)/10000,IF(AT40&lt;=Parameter!$C$20,(Parameter!$C$24*(AT40-Parameter!$C$19)/10000+Parameter!$C$25)*(AT40-Parameter!$C$19)/10000+Parameter!$C$26,IF(AT40&lt;=Parameter!$C$21,0.42*AT40-Parameter!$C$27,0.45*AT40-Parameter!$C$28)))))</f>
        <v/>
      </c>
      <c r="AV40" s="40">
        <f>AU40+IF(AU40&lt;=(Parameter!$C$30*Parameter!$C$57*D40),0,MIN(Parameter!$C$29*AU40,Parameter!$C$31*(AU40-(Parameter!$C$30*Parameter!$C$57*D40))))+Eingaben!$C$16*AU40</f>
        <v/>
      </c>
      <c r="AW40" s="40">
        <f>AI40+AK40-(AV40-J40)+AM40-AN40</f>
        <v/>
      </c>
      <c r="AX40" s="40">
        <f>MAX(0,(AX39-AZ39)*(1+Parameter!$C$62))</f>
        <v/>
      </c>
      <c r="AY40" s="40">
        <f>MAX(0,AY39-AY39*IF(AX39=0,0,AZ39/AX39))</f>
        <v/>
      </c>
      <c r="AZ40" s="40">
        <f>IF(F40=0,0,MIN(AX40,Ansparphase!$BG$57*$CG$5))</f>
        <v/>
      </c>
      <c r="BA40" s="40">
        <f>AZ40-IF(AX40=0,0,AY40*AZ40/AX40)</f>
        <v/>
      </c>
      <c r="BB40" s="40">
        <f>MAX(0,BA40*(1-Parameter!$C$37)-Parameter!$C$67)*Parameter!$C$36</f>
        <v/>
      </c>
      <c r="BC40" s="40">
        <f>AZ40-BB40</f>
        <v/>
      </c>
      <c r="BD40" s="38">
        <f>1/(1+Eingaben!$C$40)^C40</f>
        <v/>
      </c>
      <c r="BE40" s="40">
        <f>IF(AND(Eingaben!$C$31=2,F40=0),(Ansparphase!$AY$57+Ansparphase!$AZ$57)*Eingaben!$C$32/10000*12*(1+Eingaben!$C$33)^32,0)</f>
        <v/>
      </c>
      <c r="BF40" s="38">
        <f>1/(1+Parameter!$C$68)^32</f>
        <v/>
      </c>
    </row>
    <row r="41">
      <c r="A41" s="32">
        <f>2026+C41</f>
        <v/>
      </c>
      <c r="B41" s="32">
        <f>Eingaben!$C$6+33</f>
        <v/>
      </c>
      <c r="C41" s="32">
        <f>B41-Eingaben!$C$5</f>
        <v/>
      </c>
      <c r="D41" s="41">
        <f>(1+Eingaben!$C$17)^C41</f>
        <v/>
      </c>
      <c r="E41" s="41">
        <f>(1+Eingaben!$C$13)^C41</f>
        <v/>
      </c>
      <c r="F41" s="32">
        <f>IF(B41&lt;=Eingaben!$C$7,1,0)</f>
        <v/>
      </c>
      <c r="G41" s="43">
        <f>Eingaben!$C$43*(1+Eingaben!$C$40)^C41</f>
        <v/>
      </c>
      <c r="H41" s="43">
        <f>MAX(0,(G41+IF(Eingaben!$C$14=3,Eingaben!$C$15,0))/Parameter!$C$57/D41)</f>
        <v/>
      </c>
      <c r="I41" s="43">
        <f>Parameter!$C$57*D41*(IF(H41&lt;=Parameter!$C$18,0,IF(H41&lt;=Parameter!$C$19,(Parameter!$C$22*(H41-Parameter!$C$18)/10000+Parameter!$C$23)*(H41-Parameter!$C$18)/10000,IF(H41&lt;=Parameter!$C$20,(Parameter!$C$24*(H41-Parameter!$C$19)/10000+Parameter!$C$25)*(H41-Parameter!$C$19)/10000+Parameter!$C$26,IF(H41&lt;=Parameter!$C$21,0.42*H41-Parameter!$C$27,0.45*H41-Parameter!$C$28)))))</f>
        <v/>
      </c>
      <c r="J41" s="43">
        <f>I41+IF(I41&lt;=(Parameter!$C$30*Parameter!$C$57*D41),0,MIN(Parameter!$C$29*I41,Parameter!$C$31*(I41-(Parameter!$C$30*Parameter!$C$57*D41))))+Eingaben!$C$16*I41</f>
        <v/>
      </c>
      <c r="K41" s="43">
        <f>IF(Eingaben!$C$31=1,IF(0=1,Ansparphase!$AY$57,0),(Ansparphase!$AY$57+Ansparphase!$AZ$57)*Eingaben!$C$32/10000*12*(1+Eingaben!$C$33)^33*F41*IF((Ansparphase!$AY$57+Ansparphase!$AZ$57)=0,0,Ansparphase!$AY$57/(Ansparphase!$AY$57+Ansparphase!$AZ$57)))</f>
        <v/>
      </c>
      <c r="L41" s="43">
        <f>IF(Eingaben!$C$31=1,IF(0=1,Ansparphase!$AZ$57,0),(Ansparphase!$AY$57+Ansparphase!$AZ$57)*Eingaben!$C$32/10000*12*(1+Eingaben!$C$33)^33*F41*IF((Ansparphase!$AY$57+Ansparphase!$AZ$57)=0,0,Ansparphase!$AZ$57/(Ansparphase!$AY$57+Ansparphase!$AZ$57)))</f>
        <v/>
      </c>
      <c r="M41" s="43">
        <f>K41+L41</f>
        <v/>
      </c>
      <c r="N41" s="43">
        <f>K41+L41*IF(Eingaben!$C$31=1,(1-IF(Ansparphase!$AZ$57=0,1,MIN(1,$CG$8/Ansparphase!$AZ$57)))*Parameter!$C$52,Parameter!$C$51)</f>
        <v/>
      </c>
      <c r="O41" s="43">
        <f>IF(Eingaben!$C$31=1,IF(33&lt;10,(Ansparphase!$AY$57+Ansparphase!$AZ$57)/120,0),M41/12)</f>
        <v/>
      </c>
      <c r="P41" s="43">
        <f>Eingaben!$C$44/12*(1+Eingaben!$C$13)^C41</f>
        <v/>
      </c>
      <c r="Q41" s="43">
        <f>MAX(0,MIN(O41,Parameter!$C$5/12*E41-P41))</f>
        <v/>
      </c>
      <c r="R41" s="43">
        <f>IF(Eingaben!$C$42=2,0,MAX(0,Q41-Parameter!$C$7*E41)*Parameter!$C$54*12)</f>
        <v/>
      </c>
      <c r="S41" s="43">
        <f>IF(Eingaben!$C$42=2,0,IF(O41&gt;Parameter!$C$7*E41,Q41*Parameter!$C$59*12,0))</f>
        <v/>
      </c>
      <c r="T41" s="43">
        <f>R41+S41</f>
        <v/>
      </c>
      <c r="U41" s="43">
        <f>Ansparphase!$BL$57*Parameter!$C$9*12*(1+Eingaben!$C$13)^(Eingaben!$C$6-Eingaben!$C$5)*(1+Eingaben!$C$13)^33*F41</f>
        <v/>
      </c>
      <c r="V41" s="43">
        <f>U41*Parameter!$C$66</f>
        <v/>
      </c>
      <c r="W41" s="43">
        <f>IF(Eingaben!$C$42=2,0,U41*(Parameter!$C$53+Parameter!$C$59))</f>
        <v/>
      </c>
      <c r="X41" s="43">
        <f>MAX(0,G41-V41+N41-T41+W41)</f>
        <v/>
      </c>
      <c r="Y41" s="43">
        <f>MAX(0,(X41+IF(Eingaben!$C$14=3,Eingaben!$C$15,0))/Parameter!$C$57/D41)</f>
        <v/>
      </c>
      <c r="Z41" s="43">
        <f>Parameter!$C$57*D41*(IF(Y41&lt;=Parameter!$C$18,0,IF(Y41&lt;=Parameter!$C$19,(Parameter!$C$22*(Y41-Parameter!$C$18)/10000+Parameter!$C$23)*(Y41-Parameter!$C$18)/10000,IF(Y41&lt;=Parameter!$C$20,(Parameter!$C$24*(Y41-Parameter!$C$19)/10000+Parameter!$C$25)*(Y41-Parameter!$C$19)/10000+Parameter!$C$26,IF(Y41&lt;=Parameter!$C$21,0.42*Y41-Parameter!$C$27,0.45*Y41-Parameter!$C$28)))))</f>
        <v/>
      </c>
      <c r="AA41" s="43">
        <f>Z41+IF(Z41&lt;=(Parameter!$C$30*Parameter!$C$57*D41),0,MIN(Parameter!$C$29*Z41,Parameter!$C$31*(Z41-(Parameter!$C$30*Parameter!$C$57*D41))))+Eingaben!$C$16*Z41</f>
        <v/>
      </c>
      <c r="AB41" s="43">
        <f>MAX(0,G41-V41+N41/5-T41+W41)</f>
        <v/>
      </c>
      <c r="AC41" s="43">
        <f>MAX(0,(AB41+IF(Eingaben!$C$14=3,Eingaben!$C$15,0))/Parameter!$C$57/D41)</f>
        <v/>
      </c>
      <c r="AD41" s="43">
        <f>Parameter!$C$57*D41*(IF(AC41&lt;=Parameter!$C$18,0,IF(AC41&lt;=Parameter!$C$19,(Parameter!$C$22*(AC41-Parameter!$C$18)/10000+Parameter!$C$23)*(AC41-Parameter!$C$18)/10000,IF(AC41&lt;=Parameter!$C$20,(Parameter!$C$24*(AC41-Parameter!$C$19)/10000+Parameter!$C$25)*(AC41-Parameter!$C$19)/10000+Parameter!$C$26,IF(AC41&lt;=Parameter!$C$21,0.42*AC41-Parameter!$C$27,0.45*AC41-Parameter!$C$28)))))</f>
        <v/>
      </c>
      <c r="AE41" s="43">
        <f>AD41+IF(AD41&lt;=(Parameter!$C$30*Parameter!$C$57*D41),0,MIN(Parameter!$C$29*AD41,Parameter!$C$31*(AD41-(Parameter!$C$30*Parameter!$C$57*D41))))+Eingaben!$C$16*AD41</f>
        <v/>
      </c>
      <c r="AF41" s="43">
        <f>IF(AND(Eingaben!$C$34=1,Eingaben!$C$31=1,M41&gt;0),MIN(AA41-J41,5*(AE41-J41)),AA41-J41)</f>
        <v/>
      </c>
      <c r="AG41" s="43">
        <f>M41-T41-AF41-U41+W41</f>
        <v/>
      </c>
      <c r="AH41" s="43">
        <f>IF(Eingaben!$C$46=2,0,MAX(0,(AH40-AI40)*(1+Parameter!$C$61)))</f>
        <v/>
      </c>
      <c r="AI41" s="43">
        <f>IF(Eingaben!$C$46=1,IF(F41=0,0,MIN(AH41,Ansparphase!$BA$57*IF(33=0,Eingaben!$C$45,0)+(Ansparphase!$BA$57*(1-Eingaben!$C$45))*$CG$4)),Ansparphase!$BA$57*IF(33=0,Eingaben!$C$45,0)+(((Ansparphase!$BA$57*(1-Eingaben!$C$45))+(Ansparphase!$BB$57*(1-Eingaben!$C$45)))*Eingaben!$C$47/10000*12*(1+Eingaben!$C$48)^33*F41)*IF(((Ansparphase!$BA$57*(1-Eingaben!$C$45))+(Ansparphase!$BB$57*(1-Eingaben!$C$45)))=0,0,(Ansparphase!$BA$57*(1-Eingaben!$C$45))/((Ansparphase!$BA$57*(1-Eingaben!$C$45))+(Ansparphase!$BB$57*(1-Eingaben!$C$45)))))</f>
        <v/>
      </c>
      <c r="AJ41" s="43">
        <f>IF(Eingaben!$C$46=2,0,MAX(0,(AJ40-AK40)*(1+Parameter!$C$61)))</f>
        <v/>
      </c>
      <c r="AK41" s="43">
        <f>AO41+AP41</f>
        <v/>
      </c>
      <c r="AL41" s="43">
        <f>MAX(0,(AL40-AM40)*(1+Parameter!$C$62))</f>
        <v/>
      </c>
      <c r="AM41" s="43">
        <f>IF(F41=0,0,MIN(AL41,Ansparphase!$BC$57*$CG$5))</f>
        <v/>
      </c>
      <c r="AN41" s="43">
        <f>MAX(0,AM41*(1-IF(Ansparphase!$BC$57=0,1,MIN(1,Ansparphase!$BD$57/Ansparphase!$BC$57)))*(1-Parameter!$C$37))*Parameter!$C$36</f>
        <v/>
      </c>
      <c r="AO41" s="43">
        <f>IF(Eingaben!$C$46=1,IF(F41=0,0,MIN(AJ41,Ansparphase!$BB$57*IF(33=0,Eingaben!$C$45,0)+(Ansparphase!$BB$57*(1-Eingaben!$C$45))*$CG$4)),Ansparphase!$BB$57*IF(33=0,Eingaben!$C$45,0))</f>
        <v/>
      </c>
      <c r="AP41" s="43">
        <f>IF(Eingaben!$C$46=1,0,(((Ansparphase!$BA$57*(1-Eingaben!$C$45))+(Ansparphase!$BB$57*(1-Eingaben!$C$45)))*Eingaben!$C$47/10000*12*(1+Eingaben!$C$48)^33*F41)*IF(((Ansparphase!$BA$57*(1-Eingaben!$C$45))+(Ansparphase!$BB$57*(1-Eingaben!$C$45)))=0,0,(Ansparphase!$BB$57*(1-Eingaben!$C$45))/((Ansparphase!$BA$57*(1-Eingaben!$C$45))+(Ansparphase!$BB$57*(1-Eingaben!$C$45)))))</f>
        <v/>
      </c>
      <c r="AQ41" s="43">
        <f>IF(AND(Eingaben!$C$46=2,F41=0),((Ansparphase!$BA$57*(1-Eingaben!$C$45))+(Ansparphase!$BB$57*(1-Eingaben!$C$45)))*Eingaben!$C$47/10000*12*(1+Eingaben!$C$48)^33,0)</f>
        <v/>
      </c>
      <c r="AR41" s="43">
        <f>AI41+AO41*(1-IF(Ansparphase!$BB$57=0,1,MIN(1,$CG$7/Ansparphase!$BB$57)))*Parameter!$C$52+AP41*Parameter!$C$51</f>
        <v/>
      </c>
      <c r="AS41" s="43">
        <f>MAX(0,G41+AR41)</f>
        <v/>
      </c>
      <c r="AT41" s="43">
        <f>MAX(0,(AS41+IF(Eingaben!$C$14=3,Eingaben!$C$15,0))/Parameter!$C$57/D41)</f>
        <v/>
      </c>
      <c r="AU41" s="43">
        <f>Parameter!$C$57*D41*(IF(AT41&lt;=Parameter!$C$18,0,IF(AT41&lt;=Parameter!$C$19,(Parameter!$C$22*(AT41-Parameter!$C$18)/10000+Parameter!$C$23)*(AT41-Parameter!$C$18)/10000,IF(AT41&lt;=Parameter!$C$20,(Parameter!$C$24*(AT41-Parameter!$C$19)/10000+Parameter!$C$25)*(AT41-Parameter!$C$19)/10000+Parameter!$C$26,IF(AT41&lt;=Parameter!$C$21,0.42*AT41-Parameter!$C$27,0.45*AT41-Parameter!$C$28)))))</f>
        <v/>
      </c>
      <c r="AV41" s="43">
        <f>AU41+IF(AU41&lt;=(Parameter!$C$30*Parameter!$C$57*D41),0,MIN(Parameter!$C$29*AU41,Parameter!$C$31*(AU41-(Parameter!$C$30*Parameter!$C$57*D41))))+Eingaben!$C$16*AU41</f>
        <v/>
      </c>
      <c r="AW41" s="43">
        <f>AI41+AK41-(AV41-J41)+AM41-AN41</f>
        <v/>
      </c>
      <c r="AX41" s="43">
        <f>MAX(0,(AX40-AZ40)*(1+Parameter!$C$62))</f>
        <v/>
      </c>
      <c r="AY41" s="43">
        <f>MAX(0,AY40-AY40*IF(AX40=0,0,AZ40/AX40))</f>
        <v/>
      </c>
      <c r="AZ41" s="43">
        <f>IF(F41=0,0,MIN(AX41,Ansparphase!$BG$57*$CG$5))</f>
        <v/>
      </c>
      <c r="BA41" s="43">
        <f>AZ41-IF(AX41=0,0,AY41*AZ41/AX41)</f>
        <v/>
      </c>
      <c r="BB41" s="43">
        <f>MAX(0,BA41*(1-Parameter!$C$37)-Parameter!$C$67)*Parameter!$C$36</f>
        <v/>
      </c>
      <c r="BC41" s="43">
        <f>AZ41-BB41</f>
        <v/>
      </c>
      <c r="BD41" s="41">
        <f>1/(1+Eingaben!$C$40)^C41</f>
        <v/>
      </c>
      <c r="BE41" s="43">
        <f>IF(AND(Eingaben!$C$31=2,F41=0),(Ansparphase!$AY$57+Ansparphase!$AZ$57)*Eingaben!$C$32/10000*12*(1+Eingaben!$C$33)^33,0)</f>
        <v/>
      </c>
      <c r="BF41" s="41">
        <f>1/(1+Parameter!$C$68)^33</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K69"/>
  <sheetViews>
    <sheetView showGridLines="0" workbookViewId="0">
      <selection activeCell="A1" sqref="A1"/>
    </sheetView>
  </sheetViews>
  <sheetFormatPr baseColWidth="8" defaultRowHeight="15"/>
  <cols>
    <col width="15"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s>
  <sheetData>
    <row r="1">
      <c r="A1" s="1" t="inlineStr">
        <is>
          <t>Zahlungsstroeme aus Sicht des Arbeitnehmers (fuer interne Zinsfuesse und Barwerte)</t>
        </is>
      </c>
    </row>
    <row r="2">
      <c r="A2" s="36" t="inlineStr">
        <is>
          <t>Negativ = Aufwand aus dem Netto, positiv = Netto-Zufluss. Alle drei Spalten haben in der Ansparphase denselben Aufwand.</t>
        </is>
      </c>
    </row>
    <row r="4" ht="30" customHeight="1">
      <c r="A4" s="29" t="inlineStr">
        <is>
          <t>Jahr</t>
        </is>
      </c>
      <c r="B4" s="29" t="inlineStr">
        <is>
          <t>Alter</t>
        </is>
      </c>
      <c r="C4" s="29" t="inlineStr">
        <is>
          <t>Nettoaufwand</t>
        </is>
      </c>
      <c r="D4" s="29" t="inlineStr">
        <is>
          <t>CF bAV (DYNO)</t>
        </is>
      </c>
      <c r="E4" s="29" t="inlineStr">
        <is>
          <t>CF Altersvorsorgedepot</t>
        </is>
      </c>
      <c r="F4" s="29" t="inlineStr">
        <is>
          <t>CF privates ETF-Depot</t>
        </is>
      </c>
      <c r="G4" s="29" t="inlineStr">
        <is>
          <t>Diskontfaktor</t>
        </is>
      </c>
      <c r="H4" s="29" t="inlineStr">
        <is>
          <t>BW bAV</t>
        </is>
      </c>
      <c r="I4" s="29" t="inlineStr">
        <is>
          <t>BW AV-Depot</t>
        </is>
      </c>
      <c r="J4" s="29" t="inlineStr">
        <is>
          <t>BW privat</t>
        </is>
      </c>
      <c r="K4" s="29" t="inlineStr">
        <is>
          <t>BW Aufwand</t>
        </is>
      </c>
    </row>
    <row r="5">
      <c r="A5" s="46">
        <f>2026+0</f>
        <v/>
      </c>
      <c r="B5" s="46">
        <f>Eingaben!$C$5+0</f>
        <v/>
      </c>
      <c r="C5" s="45">
        <f>IF(0&lt;50,INDEX(Ansparphase!$AI$8:$AI$57,0+1),0)</f>
        <v/>
      </c>
      <c r="D5" s="45">
        <f>-$C5+IF(AND($B5&gt;=Eingaben!$C$6,$B5&lt;=Eingaben!$C$6+34-1),INDEX(Auszahlung!$AG$8:$AG$41,$B5-Eingaben!$C$6+1),0)</f>
        <v/>
      </c>
      <c r="E5" s="45">
        <f>-$C5+IF(AND($B5&gt;=Eingaben!$C$6,$B5&lt;=Eingaben!$C$6+34-1),INDEX(Auszahlung!$AW$8:$AW$41,$B5-Eingaben!$C$6+1),0)</f>
        <v/>
      </c>
      <c r="F5" s="45">
        <f>-$C5+IF(AND($B5&gt;=Eingaben!$C$6,$B5&lt;=Eingaben!$C$6+34-1),INDEX(Auszahlung!$BC$8:$BC$41,$B5-Eingaben!$C$6+1),0)</f>
        <v/>
      </c>
      <c r="G5" s="47">
        <f>1/(1+Eingaben!$C$40)^0</f>
        <v/>
      </c>
      <c r="H5" s="45">
        <f>$G5*(D5+$C5)</f>
        <v/>
      </c>
      <c r="I5" s="45">
        <f>$G5*(E5+$C5)</f>
        <v/>
      </c>
      <c r="J5" s="45">
        <f>$G5*(F5+$C5)</f>
        <v/>
      </c>
      <c r="K5" s="45">
        <f>$G5*$C5</f>
        <v/>
      </c>
    </row>
    <row r="6">
      <c r="A6" s="46">
        <f>2026+1</f>
        <v/>
      </c>
      <c r="B6" s="46">
        <f>Eingaben!$C$5+1</f>
        <v/>
      </c>
      <c r="C6" s="45">
        <f>IF(1&lt;50,INDEX(Ansparphase!$AI$8:$AI$57,1+1),0)</f>
        <v/>
      </c>
      <c r="D6" s="45">
        <f>-$C6+IF(AND($B6&gt;=Eingaben!$C$6,$B6&lt;=Eingaben!$C$6+34-1),INDEX(Auszahlung!$AG$8:$AG$41,$B6-Eingaben!$C$6+1),0)</f>
        <v/>
      </c>
      <c r="E6" s="45">
        <f>-$C6+IF(AND($B6&gt;=Eingaben!$C$6,$B6&lt;=Eingaben!$C$6+34-1),INDEX(Auszahlung!$AW$8:$AW$41,$B6-Eingaben!$C$6+1),0)</f>
        <v/>
      </c>
      <c r="F6" s="45">
        <f>-$C6+IF(AND($B6&gt;=Eingaben!$C$6,$B6&lt;=Eingaben!$C$6+34-1),INDEX(Auszahlung!$BC$8:$BC$41,$B6-Eingaben!$C$6+1),0)</f>
        <v/>
      </c>
      <c r="G6" s="47">
        <f>1/(1+Eingaben!$C$40)^1</f>
        <v/>
      </c>
      <c r="H6" s="45">
        <f>$G6*(D6+$C6)</f>
        <v/>
      </c>
      <c r="I6" s="45">
        <f>$G6*(E6+$C6)</f>
        <v/>
      </c>
      <c r="J6" s="45">
        <f>$G6*(F6+$C6)</f>
        <v/>
      </c>
      <c r="K6" s="45">
        <f>$G6*$C6</f>
        <v/>
      </c>
    </row>
    <row r="7">
      <c r="A7" s="46">
        <f>2026+2</f>
        <v/>
      </c>
      <c r="B7" s="46">
        <f>Eingaben!$C$5+2</f>
        <v/>
      </c>
      <c r="C7" s="45">
        <f>IF(2&lt;50,INDEX(Ansparphase!$AI$8:$AI$57,2+1),0)</f>
        <v/>
      </c>
      <c r="D7" s="45">
        <f>-$C7+IF(AND($B7&gt;=Eingaben!$C$6,$B7&lt;=Eingaben!$C$6+34-1),INDEX(Auszahlung!$AG$8:$AG$41,$B7-Eingaben!$C$6+1),0)</f>
        <v/>
      </c>
      <c r="E7" s="45">
        <f>-$C7+IF(AND($B7&gt;=Eingaben!$C$6,$B7&lt;=Eingaben!$C$6+34-1),INDEX(Auszahlung!$AW$8:$AW$41,$B7-Eingaben!$C$6+1),0)</f>
        <v/>
      </c>
      <c r="F7" s="45">
        <f>-$C7+IF(AND($B7&gt;=Eingaben!$C$6,$B7&lt;=Eingaben!$C$6+34-1),INDEX(Auszahlung!$BC$8:$BC$41,$B7-Eingaben!$C$6+1),0)</f>
        <v/>
      </c>
      <c r="G7" s="47">
        <f>1/(1+Eingaben!$C$40)^2</f>
        <v/>
      </c>
      <c r="H7" s="45">
        <f>$G7*(D7+$C7)</f>
        <v/>
      </c>
      <c r="I7" s="45">
        <f>$G7*(E7+$C7)</f>
        <v/>
      </c>
      <c r="J7" s="45">
        <f>$G7*(F7+$C7)</f>
        <v/>
      </c>
      <c r="K7" s="45">
        <f>$G7*$C7</f>
        <v/>
      </c>
    </row>
    <row r="8">
      <c r="A8" s="46">
        <f>2026+3</f>
        <v/>
      </c>
      <c r="B8" s="46">
        <f>Eingaben!$C$5+3</f>
        <v/>
      </c>
      <c r="C8" s="45">
        <f>IF(3&lt;50,INDEX(Ansparphase!$AI$8:$AI$57,3+1),0)</f>
        <v/>
      </c>
      <c r="D8" s="45">
        <f>-$C8+IF(AND($B8&gt;=Eingaben!$C$6,$B8&lt;=Eingaben!$C$6+34-1),INDEX(Auszahlung!$AG$8:$AG$41,$B8-Eingaben!$C$6+1),0)</f>
        <v/>
      </c>
      <c r="E8" s="45">
        <f>-$C8+IF(AND($B8&gt;=Eingaben!$C$6,$B8&lt;=Eingaben!$C$6+34-1),INDEX(Auszahlung!$AW$8:$AW$41,$B8-Eingaben!$C$6+1),0)</f>
        <v/>
      </c>
      <c r="F8" s="45">
        <f>-$C8+IF(AND($B8&gt;=Eingaben!$C$6,$B8&lt;=Eingaben!$C$6+34-1),INDEX(Auszahlung!$BC$8:$BC$41,$B8-Eingaben!$C$6+1),0)</f>
        <v/>
      </c>
      <c r="G8" s="47">
        <f>1/(1+Eingaben!$C$40)^3</f>
        <v/>
      </c>
      <c r="H8" s="45">
        <f>$G8*(D8+$C8)</f>
        <v/>
      </c>
      <c r="I8" s="45">
        <f>$G8*(E8+$C8)</f>
        <v/>
      </c>
      <c r="J8" s="45">
        <f>$G8*(F8+$C8)</f>
        <v/>
      </c>
      <c r="K8" s="45">
        <f>$G8*$C8</f>
        <v/>
      </c>
    </row>
    <row r="9">
      <c r="A9" s="46">
        <f>2026+4</f>
        <v/>
      </c>
      <c r="B9" s="46">
        <f>Eingaben!$C$5+4</f>
        <v/>
      </c>
      <c r="C9" s="45">
        <f>IF(4&lt;50,INDEX(Ansparphase!$AI$8:$AI$57,4+1),0)</f>
        <v/>
      </c>
      <c r="D9" s="45">
        <f>-$C9+IF(AND($B9&gt;=Eingaben!$C$6,$B9&lt;=Eingaben!$C$6+34-1),INDEX(Auszahlung!$AG$8:$AG$41,$B9-Eingaben!$C$6+1),0)</f>
        <v/>
      </c>
      <c r="E9" s="45">
        <f>-$C9+IF(AND($B9&gt;=Eingaben!$C$6,$B9&lt;=Eingaben!$C$6+34-1),INDEX(Auszahlung!$AW$8:$AW$41,$B9-Eingaben!$C$6+1),0)</f>
        <v/>
      </c>
      <c r="F9" s="45">
        <f>-$C9+IF(AND($B9&gt;=Eingaben!$C$6,$B9&lt;=Eingaben!$C$6+34-1),INDEX(Auszahlung!$BC$8:$BC$41,$B9-Eingaben!$C$6+1),0)</f>
        <v/>
      </c>
      <c r="G9" s="47">
        <f>1/(1+Eingaben!$C$40)^4</f>
        <v/>
      </c>
      <c r="H9" s="45">
        <f>$G9*(D9+$C9)</f>
        <v/>
      </c>
      <c r="I9" s="45">
        <f>$G9*(E9+$C9)</f>
        <v/>
      </c>
      <c r="J9" s="45">
        <f>$G9*(F9+$C9)</f>
        <v/>
      </c>
      <c r="K9" s="45">
        <f>$G9*$C9</f>
        <v/>
      </c>
    </row>
    <row r="10">
      <c r="A10" s="46">
        <f>2026+5</f>
        <v/>
      </c>
      <c r="B10" s="46">
        <f>Eingaben!$C$5+5</f>
        <v/>
      </c>
      <c r="C10" s="45">
        <f>IF(5&lt;50,INDEX(Ansparphase!$AI$8:$AI$57,5+1),0)</f>
        <v/>
      </c>
      <c r="D10" s="45">
        <f>-$C10+IF(AND($B10&gt;=Eingaben!$C$6,$B10&lt;=Eingaben!$C$6+34-1),INDEX(Auszahlung!$AG$8:$AG$41,$B10-Eingaben!$C$6+1),0)</f>
        <v/>
      </c>
      <c r="E10" s="45">
        <f>-$C10+IF(AND($B10&gt;=Eingaben!$C$6,$B10&lt;=Eingaben!$C$6+34-1),INDEX(Auszahlung!$AW$8:$AW$41,$B10-Eingaben!$C$6+1),0)</f>
        <v/>
      </c>
      <c r="F10" s="45">
        <f>-$C10+IF(AND($B10&gt;=Eingaben!$C$6,$B10&lt;=Eingaben!$C$6+34-1),INDEX(Auszahlung!$BC$8:$BC$41,$B10-Eingaben!$C$6+1),0)</f>
        <v/>
      </c>
      <c r="G10" s="47">
        <f>1/(1+Eingaben!$C$40)^5</f>
        <v/>
      </c>
      <c r="H10" s="45">
        <f>$G10*(D10+$C10)</f>
        <v/>
      </c>
      <c r="I10" s="45">
        <f>$G10*(E10+$C10)</f>
        <v/>
      </c>
      <c r="J10" s="45">
        <f>$G10*(F10+$C10)</f>
        <v/>
      </c>
      <c r="K10" s="45">
        <f>$G10*$C10</f>
        <v/>
      </c>
    </row>
    <row r="11">
      <c r="A11" s="46">
        <f>2026+6</f>
        <v/>
      </c>
      <c r="B11" s="46">
        <f>Eingaben!$C$5+6</f>
        <v/>
      </c>
      <c r="C11" s="45">
        <f>IF(6&lt;50,INDEX(Ansparphase!$AI$8:$AI$57,6+1),0)</f>
        <v/>
      </c>
      <c r="D11" s="45">
        <f>-$C11+IF(AND($B11&gt;=Eingaben!$C$6,$B11&lt;=Eingaben!$C$6+34-1),INDEX(Auszahlung!$AG$8:$AG$41,$B11-Eingaben!$C$6+1),0)</f>
        <v/>
      </c>
      <c r="E11" s="45">
        <f>-$C11+IF(AND($B11&gt;=Eingaben!$C$6,$B11&lt;=Eingaben!$C$6+34-1),INDEX(Auszahlung!$AW$8:$AW$41,$B11-Eingaben!$C$6+1),0)</f>
        <v/>
      </c>
      <c r="F11" s="45">
        <f>-$C11+IF(AND($B11&gt;=Eingaben!$C$6,$B11&lt;=Eingaben!$C$6+34-1),INDEX(Auszahlung!$BC$8:$BC$41,$B11-Eingaben!$C$6+1),0)</f>
        <v/>
      </c>
      <c r="G11" s="47">
        <f>1/(1+Eingaben!$C$40)^6</f>
        <v/>
      </c>
      <c r="H11" s="45">
        <f>$G11*(D11+$C11)</f>
        <v/>
      </c>
      <c r="I11" s="45">
        <f>$G11*(E11+$C11)</f>
        <v/>
      </c>
      <c r="J11" s="45">
        <f>$G11*(F11+$C11)</f>
        <v/>
      </c>
      <c r="K11" s="45">
        <f>$G11*$C11</f>
        <v/>
      </c>
    </row>
    <row r="12">
      <c r="A12" s="46">
        <f>2026+7</f>
        <v/>
      </c>
      <c r="B12" s="46">
        <f>Eingaben!$C$5+7</f>
        <v/>
      </c>
      <c r="C12" s="45">
        <f>IF(7&lt;50,INDEX(Ansparphase!$AI$8:$AI$57,7+1),0)</f>
        <v/>
      </c>
      <c r="D12" s="45">
        <f>-$C12+IF(AND($B12&gt;=Eingaben!$C$6,$B12&lt;=Eingaben!$C$6+34-1),INDEX(Auszahlung!$AG$8:$AG$41,$B12-Eingaben!$C$6+1),0)</f>
        <v/>
      </c>
      <c r="E12" s="45">
        <f>-$C12+IF(AND($B12&gt;=Eingaben!$C$6,$B12&lt;=Eingaben!$C$6+34-1),INDEX(Auszahlung!$AW$8:$AW$41,$B12-Eingaben!$C$6+1),0)</f>
        <v/>
      </c>
      <c r="F12" s="45">
        <f>-$C12+IF(AND($B12&gt;=Eingaben!$C$6,$B12&lt;=Eingaben!$C$6+34-1),INDEX(Auszahlung!$BC$8:$BC$41,$B12-Eingaben!$C$6+1),0)</f>
        <v/>
      </c>
      <c r="G12" s="47">
        <f>1/(1+Eingaben!$C$40)^7</f>
        <v/>
      </c>
      <c r="H12" s="45">
        <f>$G12*(D12+$C12)</f>
        <v/>
      </c>
      <c r="I12" s="45">
        <f>$G12*(E12+$C12)</f>
        <v/>
      </c>
      <c r="J12" s="45">
        <f>$G12*(F12+$C12)</f>
        <v/>
      </c>
      <c r="K12" s="45">
        <f>$G12*$C12</f>
        <v/>
      </c>
    </row>
    <row r="13">
      <c r="A13" s="46">
        <f>2026+8</f>
        <v/>
      </c>
      <c r="B13" s="46">
        <f>Eingaben!$C$5+8</f>
        <v/>
      </c>
      <c r="C13" s="45">
        <f>IF(8&lt;50,INDEX(Ansparphase!$AI$8:$AI$57,8+1),0)</f>
        <v/>
      </c>
      <c r="D13" s="45">
        <f>-$C13+IF(AND($B13&gt;=Eingaben!$C$6,$B13&lt;=Eingaben!$C$6+34-1),INDEX(Auszahlung!$AG$8:$AG$41,$B13-Eingaben!$C$6+1),0)</f>
        <v/>
      </c>
      <c r="E13" s="45">
        <f>-$C13+IF(AND($B13&gt;=Eingaben!$C$6,$B13&lt;=Eingaben!$C$6+34-1),INDEX(Auszahlung!$AW$8:$AW$41,$B13-Eingaben!$C$6+1),0)</f>
        <v/>
      </c>
      <c r="F13" s="45">
        <f>-$C13+IF(AND($B13&gt;=Eingaben!$C$6,$B13&lt;=Eingaben!$C$6+34-1),INDEX(Auszahlung!$BC$8:$BC$41,$B13-Eingaben!$C$6+1),0)</f>
        <v/>
      </c>
      <c r="G13" s="47">
        <f>1/(1+Eingaben!$C$40)^8</f>
        <v/>
      </c>
      <c r="H13" s="45">
        <f>$G13*(D13+$C13)</f>
        <v/>
      </c>
      <c r="I13" s="45">
        <f>$G13*(E13+$C13)</f>
        <v/>
      </c>
      <c r="J13" s="45">
        <f>$G13*(F13+$C13)</f>
        <v/>
      </c>
      <c r="K13" s="45">
        <f>$G13*$C13</f>
        <v/>
      </c>
    </row>
    <row r="14">
      <c r="A14" s="46">
        <f>2026+9</f>
        <v/>
      </c>
      <c r="B14" s="46">
        <f>Eingaben!$C$5+9</f>
        <v/>
      </c>
      <c r="C14" s="45">
        <f>IF(9&lt;50,INDEX(Ansparphase!$AI$8:$AI$57,9+1),0)</f>
        <v/>
      </c>
      <c r="D14" s="45">
        <f>-$C14+IF(AND($B14&gt;=Eingaben!$C$6,$B14&lt;=Eingaben!$C$6+34-1),INDEX(Auszahlung!$AG$8:$AG$41,$B14-Eingaben!$C$6+1),0)</f>
        <v/>
      </c>
      <c r="E14" s="45">
        <f>-$C14+IF(AND($B14&gt;=Eingaben!$C$6,$B14&lt;=Eingaben!$C$6+34-1),INDEX(Auszahlung!$AW$8:$AW$41,$B14-Eingaben!$C$6+1),0)</f>
        <v/>
      </c>
      <c r="F14" s="45">
        <f>-$C14+IF(AND($B14&gt;=Eingaben!$C$6,$B14&lt;=Eingaben!$C$6+34-1),INDEX(Auszahlung!$BC$8:$BC$41,$B14-Eingaben!$C$6+1),0)</f>
        <v/>
      </c>
      <c r="G14" s="47">
        <f>1/(1+Eingaben!$C$40)^9</f>
        <v/>
      </c>
      <c r="H14" s="45">
        <f>$G14*(D14+$C14)</f>
        <v/>
      </c>
      <c r="I14" s="45">
        <f>$G14*(E14+$C14)</f>
        <v/>
      </c>
      <c r="J14" s="45">
        <f>$G14*(F14+$C14)</f>
        <v/>
      </c>
      <c r="K14" s="45">
        <f>$G14*$C14</f>
        <v/>
      </c>
    </row>
    <row r="15">
      <c r="A15" s="46">
        <f>2026+10</f>
        <v/>
      </c>
      <c r="B15" s="46">
        <f>Eingaben!$C$5+10</f>
        <v/>
      </c>
      <c r="C15" s="45">
        <f>IF(10&lt;50,INDEX(Ansparphase!$AI$8:$AI$57,10+1),0)</f>
        <v/>
      </c>
      <c r="D15" s="45">
        <f>-$C15+IF(AND($B15&gt;=Eingaben!$C$6,$B15&lt;=Eingaben!$C$6+34-1),INDEX(Auszahlung!$AG$8:$AG$41,$B15-Eingaben!$C$6+1),0)</f>
        <v/>
      </c>
      <c r="E15" s="45">
        <f>-$C15+IF(AND($B15&gt;=Eingaben!$C$6,$B15&lt;=Eingaben!$C$6+34-1),INDEX(Auszahlung!$AW$8:$AW$41,$B15-Eingaben!$C$6+1),0)</f>
        <v/>
      </c>
      <c r="F15" s="45">
        <f>-$C15+IF(AND($B15&gt;=Eingaben!$C$6,$B15&lt;=Eingaben!$C$6+34-1),INDEX(Auszahlung!$BC$8:$BC$41,$B15-Eingaben!$C$6+1),0)</f>
        <v/>
      </c>
      <c r="G15" s="47">
        <f>1/(1+Eingaben!$C$40)^10</f>
        <v/>
      </c>
      <c r="H15" s="45">
        <f>$G15*(D15+$C15)</f>
        <v/>
      </c>
      <c r="I15" s="45">
        <f>$G15*(E15+$C15)</f>
        <v/>
      </c>
      <c r="J15" s="45">
        <f>$G15*(F15+$C15)</f>
        <v/>
      </c>
      <c r="K15" s="45">
        <f>$G15*$C15</f>
        <v/>
      </c>
    </row>
    <row r="16">
      <c r="A16" s="46">
        <f>2026+11</f>
        <v/>
      </c>
      <c r="B16" s="46">
        <f>Eingaben!$C$5+11</f>
        <v/>
      </c>
      <c r="C16" s="45">
        <f>IF(11&lt;50,INDEX(Ansparphase!$AI$8:$AI$57,11+1),0)</f>
        <v/>
      </c>
      <c r="D16" s="45">
        <f>-$C16+IF(AND($B16&gt;=Eingaben!$C$6,$B16&lt;=Eingaben!$C$6+34-1),INDEX(Auszahlung!$AG$8:$AG$41,$B16-Eingaben!$C$6+1),0)</f>
        <v/>
      </c>
      <c r="E16" s="45">
        <f>-$C16+IF(AND($B16&gt;=Eingaben!$C$6,$B16&lt;=Eingaben!$C$6+34-1),INDEX(Auszahlung!$AW$8:$AW$41,$B16-Eingaben!$C$6+1),0)</f>
        <v/>
      </c>
      <c r="F16" s="45">
        <f>-$C16+IF(AND($B16&gt;=Eingaben!$C$6,$B16&lt;=Eingaben!$C$6+34-1),INDEX(Auszahlung!$BC$8:$BC$41,$B16-Eingaben!$C$6+1),0)</f>
        <v/>
      </c>
      <c r="G16" s="47">
        <f>1/(1+Eingaben!$C$40)^11</f>
        <v/>
      </c>
      <c r="H16" s="45">
        <f>$G16*(D16+$C16)</f>
        <v/>
      </c>
      <c r="I16" s="45">
        <f>$G16*(E16+$C16)</f>
        <v/>
      </c>
      <c r="J16" s="45">
        <f>$G16*(F16+$C16)</f>
        <v/>
      </c>
      <c r="K16" s="45">
        <f>$G16*$C16</f>
        <v/>
      </c>
    </row>
    <row r="17">
      <c r="A17" s="46">
        <f>2026+12</f>
        <v/>
      </c>
      <c r="B17" s="46">
        <f>Eingaben!$C$5+12</f>
        <v/>
      </c>
      <c r="C17" s="45">
        <f>IF(12&lt;50,INDEX(Ansparphase!$AI$8:$AI$57,12+1),0)</f>
        <v/>
      </c>
      <c r="D17" s="45">
        <f>-$C17+IF(AND($B17&gt;=Eingaben!$C$6,$B17&lt;=Eingaben!$C$6+34-1),INDEX(Auszahlung!$AG$8:$AG$41,$B17-Eingaben!$C$6+1),0)</f>
        <v/>
      </c>
      <c r="E17" s="45">
        <f>-$C17+IF(AND($B17&gt;=Eingaben!$C$6,$B17&lt;=Eingaben!$C$6+34-1),INDEX(Auszahlung!$AW$8:$AW$41,$B17-Eingaben!$C$6+1),0)</f>
        <v/>
      </c>
      <c r="F17" s="45">
        <f>-$C17+IF(AND($B17&gt;=Eingaben!$C$6,$B17&lt;=Eingaben!$C$6+34-1),INDEX(Auszahlung!$BC$8:$BC$41,$B17-Eingaben!$C$6+1),0)</f>
        <v/>
      </c>
      <c r="G17" s="47">
        <f>1/(1+Eingaben!$C$40)^12</f>
        <v/>
      </c>
      <c r="H17" s="45">
        <f>$G17*(D17+$C17)</f>
        <v/>
      </c>
      <c r="I17" s="45">
        <f>$G17*(E17+$C17)</f>
        <v/>
      </c>
      <c r="J17" s="45">
        <f>$G17*(F17+$C17)</f>
        <v/>
      </c>
      <c r="K17" s="45">
        <f>$G17*$C17</f>
        <v/>
      </c>
    </row>
    <row r="18">
      <c r="A18" s="46">
        <f>2026+13</f>
        <v/>
      </c>
      <c r="B18" s="46">
        <f>Eingaben!$C$5+13</f>
        <v/>
      </c>
      <c r="C18" s="45">
        <f>IF(13&lt;50,INDEX(Ansparphase!$AI$8:$AI$57,13+1),0)</f>
        <v/>
      </c>
      <c r="D18" s="45">
        <f>-$C18+IF(AND($B18&gt;=Eingaben!$C$6,$B18&lt;=Eingaben!$C$6+34-1),INDEX(Auszahlung!$AG$8:$AG$41,$B18-Eingaben!$C$6+1),0)</f>
        <v/>
      </c>
      <c r="E18" s="45">
        <f>-$C18+IF(AND($B18&gt;=Eingaben!$C$6,$B18&lt;=Eingaben!$C$6+34-1),INDEX(Auszahlung!$AW$8:$AW$41,$B18-Eingaben!$C$6+1),0)</f>
        <v/>
      </c>
      <c r="F18" s="45">
        <f>-$C18+IF(AND($B18&gt;=Eingaben!$C$6,$B18&lt;=Eingaben!$C$6+34-1),INDEX(Auszahlung!$BC$8:$BC$41,$B18-Eingaben!$C$6+1),0)</f>
        <v/>
      </c>
      <c r="G18" s="47">
        <f>1/(1+Eingaben!$C$40)^13</f>
        <v/>
      </c>
      <c r="H18" s="45">
        <f>$G18*(D18+$C18)</f>
        <v/>
      </c>
      <c r="I18" s="45">
        <f>$G18*(E18+$C18)</f>
        <v/>
      </c>
      <c r="J18" s="45">
        <f>$G18*(F18+$C18)</f>
        <v/>
      </c>
      <c r="K18" s="45">
        <f>$G18*$C18</f>
        <v/>
      </c>
    </row>
    <row r="19">
      <c r="A19" s="46">
        <f>2026+14</f>
        <v/>
      </c>
      <c r="B19" s="46">
        <f>Eingaben!$C$5+14</f>
        <v/>
      </c>
      <c r="C19" s="45">
        <f>IF(14&lt;50,INDEX(Ansparphase!$AI$8:$AI$57,14+1),0)</f>
        <v/>
      </c>
      <c r="D19" s="45">
        <f>-$C19+IF(AND($B19&gt;=Eingaben!$C$6,$B19&lt;=Eingaben!$C$6+34-1),INDEX(Auszahlung!$AG$8:$AG$41,$B19-Eingaben!$C$6+1),0)</f>
        <v/>
      </c>
      <c r="E19" s="45">
        <f>-$C19+IF(AND($B19&gt;=Eingaben!$C$6,$B19&lt;=Eingaben!$C$6+34-1),INDEX(Auszahlung!$AW$8:$AW$41,$B19-Eingaben!$C$6+1),0)</f>
        <v/>
      </c>
      <c r="F19" s="45">
        <f>-$C19+IF(AND($B19&gt;=Eingaben!$C$6,$B19&lt;=Eingaben!$C$6+34-1),INDEX(Auszahlung!$BC$8:$BC$41,$B19-Eingaben!$C$6+1),0)</f>
        <v/>
      </c>
      <c r="G19" s="47">
        <f>1/(1+Eingaben!$C$40)^14</f>
        <v/>
      </c>
      <c r="H19" s="45">
        <f>$G19*(D19+$C19)</f>
        <v/>
      </c>
      <c r="I19" s="45">
        <f>$G19*(E19+$C19)</f>
        <v/>
      </c>
      <c r="J19" s="45">
        <f>$G19*(F19+$C19)</f>
        <v/>
      </c>
      <c r="K19" s="45">
        <f>$G19*$C19</f>
        <v/>
      </c>
    </row>
    <row r="20">
      <c r="A20" s="46">
        <f>2026+15</f>
        <v/>
      </c>
      <c r="B20" s="46">
        <f>Eingaben!$C$5+15</f>
        <v/>
      </c>
      <c r="C20" s="45">
        <f>IF(15&lt;50,INDEX(Ansparphase!$AI$8:$AI$57,15+1),0)</f>
        <v/>
      </c>
      <c r="D20" s="45">
        <f>-$C20+IF(AND($B20&gt;=Eingaben!$C$6,$B20&lt;=Eingaben!$C$6+34-1),INDEX(Auszahlung!$AG$8:$AG$41,$B20-Eingaben!$C$6+1),0)</f>
        <v/>
      </c>
      <c r="E20" s="45">
        <f>-$C20+IF(AND($B20&gt;=Eingaben!$C$6,$B20&lt;=Eingaben!$C$6+34-1),INDEX(Auszahlung!$AW$8:$AW$41,$B20-Eingaben!$C$6+1),0)</f>
        <v/>
      </c>
      <c r="F20" s="45">
        <f>-$C20+IF(AND($B20&gt;=Eingaben!$C$6,$B20&lt;=Eingaben!$C$6+34-1),INDEX(Auszahlung!$BC$8:$BC$41,$B20-Eingaben!$C$6+1),0)</f>
        <v/>
      </c>
      <c r="G20" s="47">
        <f>1/(1+Eingaben!$C$40)^15</f>
        <v/>
      </c>
      <c r="H20" s="45">
        <f>$G20*(D20+$C20)</f>
        <v/>
      </c>
      <c r="I20" s="45">
        <f>$G20*(E20+$C20)</f>
        <v/>
      </c>
      <c r="J20" s="45">
        <f>$G20*(F20+$C20)</f>
        <v/>
      </c>
      <c r="K20" s="45">
        <f>$G20*$C20</f>
        <v/>
      </c>
    </row>
    <row r="21">
      <c r="A21" s="46">
        <f>2026+16</f>
        <v/>
      </c>
      <c r="B21" s="46">
        <f>Eingaben!$C$5+16</f>
        <v/>
      </c>
      <c r="C21" s="45">
        <f>IF(16&lt;50,INDEX(Ansparphase!$AI$8:$AI$57,16+1),0)</f>
        <v/>
      </c>
      <c r="D21" s="45">
        <f>-$C21+IF(AND($B21&gt;=Eingaben!$C$6,$B21&lt;=Eingaben!$C$6+34-1),INDEX(Auszahlung!$AG$8:$AG$41,$B21-Eingaben!$C$6+1),0)</f>
        <v/>
      </c>
      <c r="E21" s="45">
        <f>-$C21+IF(AND($B21&gt;=Eingaben!$C$6,$B21&lt;=Eingaben!$C$6+34-1),INDEX(Auszahlung!$AW$8:$AW$41,$B21-Eingaben!$C$6+1),0)</f>
        <v/>
      </c>
      <c r="F21" s="45">
        <f>-$C21+IF(AND($B21&gt;=Eingaben!$C$6,$B21&lt;=Eingaben!$C$6+34-1),INDEX(Auszahlung!$BC$8:$BC$41,$B21-Eingaben!$C$6+1),0)</f>
        <v/>
      </c>
      <c r="G21" s="47">
        <f>1/(1+Eingaben!$C$40)^16</f>
        <v/>
      </c>
      <c r="H21" s="45">
        <f>$G21*(D21+$C21)</f>
        <v/>
      </c>
      <c r="I21" s="45">
        <f>$G21*(E21+$C21)</f>
        <v/>
      </c>
      <c r="J21" s="45">
        <f>$G21*(F21+$C21)</f>
        <v/>
      </c>
      <c r="K21" s="45">
        <f>$G21*$C21</f>
        <v/>
      </c>
    </row>
    <row r="22">
      <c r="A22" s="46">
        <f>2026+17</f>
        <v/>
      </c>
      <c r="B22" s="46">
        <f>Eingaben!$C$5+17</f>
        <v/>
      </c>
      <c r="C22" s="45">
        <f>IF(17&lt;50,INDEX(Ansparphase!$AI$8:$AI$57,17+1),0)</f>
        <v/>
      </c>
      <c r="D22" s="45">
        <f>-$C22+IF(AND($B22&gt;=Eingaben!$C$6,$B22&lt;=Eingaben!$C$6+34-1),INDEX(Auszahlung!$AG$8:$AG$41,$B22-Eingaben!$C$6+1),0)</f>
        <v/>
      </c>
      <c r="E22" s="45">
        <f>-$C22+IF(AND($B22&gt;=Eingaben!$C$6,$B22&lt;=Eingaben!$C$6+34-1),INDEX(Auszahlung!$AW$8:$AW$41,$B22-Eingaben!$C$6+1),0)</f>
        <v/>
      </c>
      <c r="F22" s="45">
        <f>-$C22+IF(AND($B22&gt;=Eingaben!$C$6,$B22&lt;=Eingaben!$C$6+34-1),INDEX(Auszahlung!$BC$8:$BC$41,$B22-Eingaben!$C$6+1),0)</f>
        <v/>
      </c>
      <c r="G22" s="47">
        <f>1/(1+Eingaben!$C$40)^17</f>
        <v/>
      </c>
      <c r="H22" s="45">
        <f>$G22*(D22+$C22)</f>
        <v/>
      </c>
      <c r="I22" s="45">
        <f>$G22*(E22+$C22)</f>
        <v/>
      </c>
      <c r="J22" s="45">
        <f>$G22*(F22+$C22)</f>
        <v/>
      </c>
      <c r="K22" s="45">
        <f>$G22*$C22</f>
        <v/>
      </c>
    </row>
    <row r="23">
      <c r="A23" s="46">
        <f>2026+18</f>
        <v/>
      </c>
      <c r="B23" s="46">
        <f>Eingaben!$C$5+18</f>
        <v/>
      </c>
      <c r="C23" s="45">
        <f>IF(18&lt;50,INDEX(Ansparphase!$AI$8:$AI$57,18+1),0)</f>
        <v/>
      </c>
      <c r="D23" s="45">
        <f>-$C23+IF(AND($B23&gt;=Eingaben!$C$6,$B23&lt;=Eingaben!$C$6+34-1),INDEX(Auszahlung!$AG$8:$AG$41,$B23-Eingaben!$C$6+1),0)</f>
        <v/>
      </c>
      <c r="E23" s="45">
        <f>-$C23+IF(AND($B23&gt;=Eingaben!$C$6,$B23&lt;=Eingaben!$C$6+34-1),INDEX(Auszahlung!$AW$8:$AW$41,$B23-Eingaben!$C$6+1),0)</f>
        <v/>
      </c>
      <c r="F23" s="45">
        <f>-$C23+IF(AND($B23&gt;=Eingaben!$C$6,$B23&lt;=Eingaben!$C$6+34-1),INDEX(Auszahlung!$BC$8:$BC$41,$B23-Eingaben!$C$6+1),0)</f>
        <v/>
      </c>
      <c r="G23" s="47">
        <f>1/(1+Eingaben!$C$40)^18</f>
        <v/>
      </c>
      <c r="H23" s="45">
        <f>$G23*(D23+$C23)</f>
        <v/>
      </c>
      <c r="I23" s="45">
        <f>$G23*(E23+$C23)</f>
        <v/>
      </c>
      <c r="J23" s="45">
        <f>$G23*(F23+$C23)</f>
        <v/>
      </c>
      <c r="K23" s="45">
        <f>$G23*$C23</f>
        <v/>
      </c>
    </row>
    <row r="24">
      <c r="A24" s="46">
        <f>2026+19</f>
        <v/>
      </c>
      <c r="B24" s="46">
        <f>Eingaben!$C$5+19</f>
        <v/>
      </c>
      <c r="C24" s="45">
        <f>IF(19&lt;50,INDEX(Ansparphase!$AI$8:$AI$57,19+1),0)</f>
        <v/>
      </c>
      <c r="D24" s="45">
        <f>-$C24+IF(AND($B24&gt;=Eingaben!$C$6,$B24&lt;=Eingaben!$C$6+34-1),INDEX(Auszahlung!$AG$8:$AG$41,$B24-Eingaben!$C$6+1),0)</f>
        <v/>
      </c>
      <c r="E24" s="45">
        <f>-$C24+IF(AND($B24&gt;=Eingaben!$C$6,$B24&lt;=Eingaben!$C$6+34-1),INDEX(Auszahlung!$AW$8:$AW$41,$B24-Eingaben!$C$6+1),0)</f>
        <v/>
      </c>
      <c r="F24" s="45">
        <f>-$C24+IF(AND($B24&gt;=Eingaben!$C$6,$B24&lt;=Eingaben!$C$6+34-1),INDEX(Auszahlung!$BC$8:$BC$41,$B24-Eingaben!$C$6+1),0)</f>
        <v/>
      </c>
      <c r="G24" s="47">
        <f>1/(1+Eingaben!$C$40)^19</f>
        <v/>
      </c>
      <c r="H24" s="45">
        <f>$G24*(D24+$C24)</f>
        <v/>
      </c>
      <c r="I24" s="45">
        <f>$G24*(E24+$C24)</f>
        <v/>
      </c>
      <c r="J24" s="45">
        <f>$G24*(F24+$C24)</f>
        <v/>
      </c>
      <c r="K24" s="45">
        <f>$G24*$C24</f>
        <v/>
      </c>
    </row>
    <row r="25">
      <c r="A25" s="46">
        <f>2026+20</f>
        <v/>
      </c>
      <c r="B25" s="46">
        <f>Eingaben!$C$5+20</f>
        <v/>
      </c>
      <c r="C25" s="45">
        <f>IF(20&lt;50,INDEX(Ansparphase!$AI$8:$AI$57,20+1),0)</f>
        <v/>
      </c>
      <c r="D25" s="45">
        <f>-$C25+IF(AND($B25&gt;=Eingaben!$C$6,$B25&lt;=Eingaben!$C$6+34-1),INDEX(Auszahlung!$AG$8:$AG$41,$B25-Eingaben!$C$6+1),0)</f>
        <v/>
      </c>
      <c r="E25" s="45">
        <f>-$C25+IF(AND($B25&gt;=Eingaben!$C$6,$B25&lt;=Eingaben!$C$6+34-1),INDEX(Auszahlung!$AW$8:$AW$41,$B25-Eingaben!$C$6+1),0)</f>
        <v/>
      </c>
      <c r="F25" s="45">
        <f>-$C25+IF(AND($B25&gt;=Eingaben!$C$6,$B25&lt;=Eingaben!$C$6+34-1),INDEX(Auszahlung!$BC$8:$BC$41,$B25-Eingaben!$C$6+1),0)</f>
        <v/>
      </c>
      <c r="G25" s="47">
        <f>1/(1+Eingaben!$C$40)^20</f>
        <v/>
      </c>
      <c r="H25" s="45">
        <f>$G25*(D25+$C25)</f>
        <v/>
      </c>
      <c r="I25" s="45">
        <f>$G25*(E25+$C25)</f>
        <v/>
      </c>
      <c r="J25" s="45">
        <f>$G25*(F25+$C25)</f>
        <v/>
      </c>
      <c r="K25" s="45">
        <f>$G25*$C25</f>
        <v/>
      </c>
    </row>
    <row r="26">
      <c r="A26" s="46">
        <f>2026+21</f>
        <v/>
      </c>
      <c r="B26" s="46">
        <f>Eingaben!$C$5+21</f>
        <v/>
      </c>
      <c r="C26" s="45">
        <f>IF(21&lt;50,INDEX(Ansparphase!$AI$8:$AI$57,21+1),0)</f>
        <v/>
      </c>
      <c r="D26" s="45">
        <f>-$C26+IF(AND($B26&gt;=Eingaben!$C$6,$B26&lt;=Eingaben!$C$6+34-1),INDEX(Auszahlung!$AG$8:$AG$41,$B26-Eingaben!$C$6+1),0)</f>
        <v/>
      </c>
      <c r="E26" s="45">
        <f>-$C26+IF(AND($B26&gt;=Eingaben!$C$6,$B26&lt;=Eingaben!$C$6+34-1),INDEX(Auszahlung!$AW$8:$AW$41,$B26-Eingaben!$C$6+1),0)</f>
        <v/>
      </c>
      <c r="F26" s="45">
        <f>-$C26+IF(AND($B26&gt;=Eingaben!$C$6,$B26&lt;=Eingaben!$C$6+34-1),INDEX(Auszahlung!$BC$8:$BC$41,$B26-Eingaben!$C$6+1),0)</f>
        <v/>
      </c>
      <c r="G26" s="47">
        <f>1/(1+Eingaben!$C$40)^21</f>
        <v/>
      </c>
      <c r="H26" s="45">
        <f>$G26*(D26+$C26)</f>
        <v/>
      </c>
      <c r="I26" s="45">
        <f>$G26*(E26+$C26)</f>
        <v/>
      </c>
      <c r="J26" s="45">
        <f>$G26*(F26+$C26)</f>
        <v/>
      </c>
      <c r="K26" s="45">
        <f>$G26*$C26</f>
        <v/>
      </c>
    </row>
    <row r="27">
      <c r="A27" s="46">
        <f>2026+22</f>
        <v/>
      </c>
      <c r="B27" s="46">
        <f>Eingaben!$C$5+22</f>
        <v/>
      </c>
      <c r="C27" s="45">
        <f>IF(22&lt;50,INDEX(Ansparphase!$AI$8:$AI$57,22+1),0)</f>
        <v/>
      </c>
      <c r="D27" s="45">
        <f>-$C27+IF(AND($B27&gt;=Eingaben!$C$6,$B27&lt;=Eingaben!$C$6+34-1),INDEX(Auszahlung!$AG$8:$AG$41,$B27-Eingaben!$C$6+1),0)</f>
        <v/>
      </c>
      <c r="E27" s="45">
        <f>-$C27+IF(AND($B27&gt;=Eingaben!$C$6,$B27&lt;=Eingaben!$C$6+34-1),INDEX(Auszahlung!$AW$8:$AW$41,$B27-Eingaben!$C$6+1),0)</f>
        <v/>
      </c>
      <c r="F27" s="45">
        <f>-$C27+IF(AND($B27&gt;=Eingaben!$C$6,$B27&lt;=Eingaben!$C$6+34-1),INDEX(Auszahlung!$BC$8:$BC$41,$B27-Eingaben!$C$6+1),0)</f>
        <v/>
      </c>
      <c r="G27" s="47">
        <f>1/(1+Eingaben!$C$40)^22</f>
        <v/>
      </c>
      <c r="H27" s="45">
        <f>$G27*(D27+$C27)</f>
        <v/>
      </c>
      <c r="I27" s="45">
        <f>$G27*(E27+$C27)</f>
        <v/>
      </c>
      <c r="J27" s="45">
        <f>$G27*(F27+$C27)</f>
        <v/>
      </c>
      <c r="K27" s="45">
        <f>$G27*$C27</f>
        <v/>
      </c>
    </row>
    <row r="28">
      <c r="A28" s="46">
        <f>2026+23</f>
        <v/>
      </c>
      <c r="B28" s="46">
        <f>Eingaben!$C$5+23</f>
        <v/>
      </c>
      <c r="C28" s="45">
        <f>IF(23&lt;50,INDEX(Ansparphase!$AI$8:$AI$57,23+1),0)</f>
        <v/>
      </c>
      <c r="D28" s="45">
        <f>-$C28+IF(AND($B28&gt;=Eingaben!$C$6,$B28&lt;=Eingaben!$C$6+34-1),INDEX(Auszahlung!$AG$8:$AG$41,$B28-Eingaben!$C$6+1),0)</f>
        <v/>
      </c>
      <c r="E28" s="45">
        <f>-$C28+IF(AND($B28&gt;=Eingaben!$C$6,$B28&lt;=Eingaben!$C$6+34-1),INDEX(Auszahlung!$AW$8:$AW$41,$B28-Eingaben!$C$6+1),0)</f>
        <v/>
      </c>
      <c r="F28" s="45">
        <f>-$C28+IF(AND($B28&gt;=Eingaben!$C$6,$B28&lt;=Eingaben!$C$6+34-1),INDEX(Auszahlung!$BC$8:$BC$41,$B28-Eingaben!$C$6+1),0)</f>
        <v/>
      </c>
      <c r="G28" s="47">
        <f>1/(1+Eingaben!$C$40)^23</f>
        <v/>
      </c>
      <c r="H28" s="45">
        <f>$G28*(D28+$C28)</f>
        <v/>
      </c>
      <c r="I28" s="45">
        <f>$G28*(E28+$C28)</f>
        <v/>
      </c>
      <c r="J28" s="45">
        <f>$G28*(F28+$C28)</f>
        <v/>
      </c>
      <c r="K28" s="45">
        <f>$G28*$C28</f>
        <v/>
      </c>
    </row>
    <row r="29">
      <c r="A29" s="46">
        <f>2026+24</f>
        <v/>
      </c>
      <c r="B29" s="46">
        <f>Eingaben!$C$5+24</f>
        <v/>
      </c>
      <c r="C29" s="45">
        <f>IF(24&lt;50,INDEX(Ansparphase!$AI$8:$AI$57,24+1),0)</f>
        <v/>
      </c>
      <c r="D29" s="45">
        <f>-$C29+IF(AND($B29&gt;=Eingaben!$C$6,$B29&lt;=Eingaben!$C$6+34-1),INDEX(Auszahlung!$AG$8:$AG$41,$B29-Eingaben!$C$6+1),0)</f>
        <v/>
      </c>
      <c r="E29" s="45">
        <f>-$C29+IF(AND($B29&gt;=Eingaben!$C$6,$B29&lt;=Eingaben!$C$6+34-1),INDEX(Auszahlung!$AW$8:$AW$41,$B29-Eingaben!$C$6+1),0)</f>
        <v/>
      </c>
      <c r="F29" s="45">
        <f>-$C29+IF(AND($B29&gt;=Eingaben!$C$6,$B29&lt;=Eingaben!$C$6+34-1),INDEX(Auszahlung!$BC$8:$BC$41,$B29-Eingaben!$C$6+1),0)</f>
        <v/>
      </c>
      <c r="G29" s="47">
        <f>1/(1+Eingaben!$C$40)^24</f>
        <v/>
      </c>
      <c r="H29" s="45">
        <f>$G29*(D29+$C29)</f>
        <v/>
      </c>
      <c r="I29" s="45">
        <f>$G29*(E29+$C29)</f>
        <v/>
      </c>
      <c r="J29" s="45">
        <f>$G29*(F29+$C29)</f>
        <v/>
      </c>
      <c r="K29" s="45">
        <f>$G29*$C29</f>
        <v/>
      </c>
    </row>
    <row r="30">
      <c r="A30" s="46">
        <f>2026+25</f>
        <v/>
      </c>
      <c r="B30" s="46">
        <f>Eingaben!$C$5+25</f>
        <v/>
      </c>
      <c r="C30" s="45">
        <f>IF(25&lt;50,INDEX(Ansparphase!$AI$8:$AI$57,25+1),0)</f>
        <v/>
      </c>
      <c r="D30" s="45">
        <f>-$C30+IF(AND($B30&gt;=Eingaben!$C$6,$B30&lt;=Eingaben!$C$6+34-1),INDEX(Auszahlung!$AG$8:$AG$41,$B30-Eingaben!$C$6+1),0)</f>
        <v/>
      </c>
      <c r="E30" s="45">
        <f>-$C30+IF(AND($B30&gt;=Eingaben!$C$6,$B30&lt;=Eingaben!$C$6+34-1),INDEX(Auszahlung!$AW$8:$AW$41,$B30-Eingaben!$C$6+1),0)</f>
        <v/>
      </c>
      <c r="F30" s="45">
        <f>-$C30+IF(AND($B30&gt;=Eingaben!$C$6,$B30&lt;=Eingaben!$C$6+34-1),INDEX(Auszahlung!$BC$8:$BC$41,$B30-Eingaben!$C$6+1),0)</f>
        <v/>
      </c>
      <c r="G30" s="47">
        <f>1/(1+Eingaben!$C$40)^25</f>
        <v/>
      </c>
      <c r="H30" s="45">
        <f>$G30*(D30+$C30)</f>
        <v/>
      </c>
      <c r="I30" s="45">
        <f>$G30*(E30+$C30)</f>
        <v/>
      </c>
      <c r="J30" s="45">
        <f>$G30*(F30+$C30)</f>
        <v/>
      </c>
      <c r="K30" s="45">
        <f>$G30*$C30</f>
        <v/>
      </c>
    </row>
    <row r="31">
      <c r="A31" s="46">
        <f>2026+26</f>
        <v/>
      </c>
      <c r="B31" s="46">
        <f>Eingaben!$C$5+26</f>
        <v/>
      </c>
      <c r="C31" s="45">
        <f>IF(26&lt;50,INDEX(Ansparphase!$AI$8:$AI$57,26+1),0)</f>
        <v/>
      </c>
      <c r="D31" s="45">
        <f>-$C31+IF(AND($B31&gt;=Eingaben!$C$6,$B31&lt;=Eingaben!$C$6+34-1),INDEX(Auszahlung!$AG$8:$AG$41,$B31-Eingaben!$C$6+1),0)</f>
        <v/>
      </c>
      <c r="E31" s="45">
        <f>-$C31+IF(AND($B31&gt;=Eingaben!$C$6,$B31&lt;=Eingaben!$C$6+34-1),INDEX(Auszahlung!$AW$8:$AW$41,$B31-Eingaben!$C$6+1),0)</f>
        <v/>
      </c>
      <c r="F31" s="45">
        <f>-$C31+IF(AND($B31&gt;=Eingaben!$C$6,$B31&lt;=Eingaben!$C$6+34-1),INDEX(Auszahlung!$BC$8:$BC$41,$B31-Eingaben!$C$6+1),0)</f>
        <v/>
      </c>
      <c r="G31" s="47">
        <f>1/(1+Eingaben!$C$40)^26</f>
        <v/>
      </c>
      <c r="H31" s="45">
        <f>$G31*(D31+$C31)</f>
        <v/>
      </c>
      <c r="I31" s="45">
        <f>$G31*(E31+$C31)</f>
        <v/>
      </c>
      <c r="J31" s="45">
        <f>$G31*(F31+$C31)</f>
        <v/>
      </c>
      <c r="K31" s="45">
        <f>$G31*$C31</f>
        <v/>
      </c>
    </row>
    <row r="32">
      <c r="A32" s="46">
        <f>2026+27</f>
        <v/>
      </c>
      <c r="B32" s="46">
        <f>Eingaben!$C$5+27</f>
        <v/>
      </c>
      <c r="C32" s="45">
        <f>IF(27&lt;50,INDEX(Ansparphase!$AI$8:$AI$57,27+1),0)</f>
        <v/>
      </c>
      <c r="D32" s="45">
        <f>-$C32+IF(AND($B32&gt;=Eingaben!$C$6,$B32&lt;=Eingaben!$C$6+34-1),INDEX(Auszahlung!$AG$8:$AG$41,$B32-Eingaben!$C$6+1),0)</f>
        <v/>
      </c>
      <c r="E32" s="45">
        <f>-$C32+IF(AND($B32&gt;=Eingaben!$C$6,$B32&lt;=Eingaben!$C$6+34-1),INDEX(Auszahlung!$AW$8:$AW$41,$B32-Eingaben!$C$6+1),0)</f>
        <v/>
      </c>
      <c r="F32" s="45">
        <f>-$C32+IF(AND($B32&gt;=Eingaben!$C$6,$B32&lt;=Eingaben!$C$6+34-1),INDEX(Auszahlung!$BC$8:$BC$41,$B32-Eingaben!$C$6+1),0)</f>
        <v/>
      </c>
      <c r="G32" s="47">
        <f>1/(1+Eingaben!$C$40)^27</f>
        <v/>
      </c>
      <c r="H32" s="45">
        <f>$G32*(D32+$C32)</f>
        <v/>
      </c>
      <c r="I32" s="45">
        <f>$G32*(E32+$C32)</f>
        <v/>
      </c>
      <c r="J32" s="45">
        <f>$G32*(F32+$C32)</f>
        <v/>
      </c>
      <c r="K32" s="45">
        <f>$G32*$C32</f>
        <v/>
      </c>
    </row>
    <row r="33">
      <c r="A33" s="46">
        <f>2026+28</f>
        <v/>
      </c>
      <c r="B33" s="46">
        <f>Eingaben!$C$5+28</f>
        <v/>
      </c>
      <c r="C33" s="45">
        <f>IF(28&lt;50,INDEX(Ansparphase!$AI$8:$AI$57,28+1),0)</f>
        <v/>
      </c>
      <c r="D33" s="45">
        <f>-$C33+IF(AND($B33&gt;=Eingaben!$C$6,$B33&lt;=Eingaben!$C$6+34-1),INDEX(Auszahlung!$AG$8:$AG$41,$B33-Eingaben!$C$6+1),0)</f>
        <v/>
      </c>
      <c r="E33" s="45">
        <f>-$C33+IF(AND($B33&gt;=Eingaben!$C$6,$B33&lt;=Eingaben!$C$6+34-1),INDEX(Auszahlung!$AW$8:$AW$41,$B33-Eingaben!$C$6+1),0)</f>
        <v/>
      </c>
      <c r="F33" s="45">
        <f>-$C33+IF(AND($B33&gt;=Eingaben!$C$6,$B33&lt;=Eingaben!$C$6+34-1),INDEX(Auszahlung!$BC$8:$BC$41,$B33-Eingaben!$C$6+1),0)</f>
        <v/>
      </c>
      <c r="G33" s="47">
        <f>1/(1+Eingaben!$C$40)^28</f>
        <v/>
      </c>
      <c r="H33" s="45">
        <f>$G33*(D33+$C33)</f>
        <v/>
      </c>
      <c r="I33" s="45">
        <f>$G33*(E33+$C33)</f>
        <v/>
      </c>
      <c r="J33" s="45">
        <f>$G33*(F33+$C33)</f>
        <v/>
      </c>
      <c r="K33" s="45">
        <f>$G33*$C33</f>
        <v/>
      </c>
    </row>
    <row r="34">
      <c r="A34" s="46">
        <f>2026+29</f>
        <v/>
      </c>
      <c r="B34" s="46">
        <f>Eingaben!$C$5+29</f>
        <v/>
      </c>
      <c r="C34" s="45">
        <f>IF(29&lt;50,INDEX(Ansparphase!$AI$8:$AI$57,29+1),0)</f>
        <v/>
      </c>
      <c r="D34" s="45">
        <f>-$C34+IF(AND($B34&gt;=Eingaben!$C$6,$B34&lt;=Eingaben!$C$6+34-1),INDEX(Auszahlung!$AG$8:$AG$41,$B34-Eingaben!$C$6+1),0)</f>
        <v/>
      </c>
      <c r="E34" s="45">
        <f>-$C34+IF(AND($B34&gt;=Eingaben!$C$6,$B34&lt;=Eingaben!$C$6+34-1),INDEX(Auszahlung!$AW$8:$AW$41,$B34-Eingaben!$C$6+1),0)</f>
        <v/>
      </c>
      <c r="F34" s="45">
        <f>-$C34+IF(AND($B34&gt;=Eingaben!$C$6,$B34&lt;=Eingaben!$C$6+34-1),INDEX(Auszahlung!$BC$8:$BC$41,$B34-Eingaben!$C$6+1),0)</f>
        <v/>
      </c>
      <c r="G34" s="47">
        <f>1/(1+Eingaben!$C$40)^29</f>
        <v/>
      </c>
      <c r="H34" s="45">
        <f>$G34*(D34+$C34)</f>
        <v/>
      </c>
      <c r="I34" s="45">
        <f>$G34*(E34+$C34)</f>
        <v/>
      </c>
      <c r="J34" s="45">
        <f>$G34*(F34+$C34)</f>
        <v/>
      </c>
      <c r="K34" s="45">
        <f>$G34*$C34</f>
        <v/>
      </c>
    </row>
    <row r="35">
      <c r="A35" s="46">
        <f>2026+30</f>
        <v/>
      </c>
      <c r="B35" s="46">
        <f>Eingaben!$C$5+30</f>
        <v/>
      </c>
      <c r="C35" s="45">
        <f>IF(30&lt;50,INDEX(Ansparphase!$AI$8:$AI$57,30+1),0)</f>
        <v/>
      </c>
      <c r="D35" s="45">
        <f>-$C35+IF(AND($B35&gt;=Eingaben!$C$6,$B35&lt;=Eingaben!$C$6+34-1),INDEX(Auszahlung!$AG$8:$AG$41,$B35-Eingaben!$C$6+1),0)</f>
        <v/>
      </c>
      <c r="E35" s="45">
        <f>-$C35+IF(AND($B35&gt;=Eingaben!$C$6,$B35&lt;=Eingaben!$C$6+34-1),INDEX(Auszahlung!$AW$8:$AW$41,$B35-Eingaben!$C$6+1),0)</f>
        <v/>
      </c>
      <c r="F35" s="45">
        <f>-$C35+IF(AND($B35&gt;=Eingaben!$C$6,$B35&lt;=Eingaben!$C$6+34-1),INDEX(Auszahlung!$BC$8:$BC$41,$B35-Eingaben!$C$6+1),0)</f>
        <v/>
      </c>
      <c r="G35" s="47">
        <f>1/(1+Eingaben!$C$40)^30</f>
        <v/>
      </c>
      <c r="H35" s="45">
        <f>$G35*(D35+$C35)</f>
        <v/>
      </c>
      <c r="I35" s="45">
        <f>$G35*(E35+$C35)</f>
        <v/>
      </c>
      <c r="J35" s="45">
        <f>$G35*(F35+$C35)</f>
        <v/>
      </c>
      <c r="K35" s="45">
        <f>$G35*$C35</f>
        <v/>
      </c>
    </row>
    <row r="36">
      <c r="A36" s="46">
        <f>2026+31</f>
        <v/>
      </c>
      <c r="B36" s="46">
        <f>Eingaben!$C$5+31</f>
        <v/>
      </c>
      <c r="C36" s="45">
        <f>IF(31&lt;50,INDEX(Ansparphase!$AI$8:$AI$57,31+1),0)</f>
        <v/>
      </c>
      <c r="D36" s="45">
        <f>-$C36+IF(AND($B36&gt;=Eingaben!$C$6,$B36&lt;=Eingaben!$C$6+34-1),INDEX(Auszahlung!$AG$8:$AG$41,$B36-Eingaben!$C$6+1),0)</f>
        <v/>
      </c>
      <c r="E36" s="45">
        <f>-$C36+IF(AND($B36&gt;=Eingaben!$C$6,$B36&lt;=Eingaben!$C$6+34-1),INDEX(Auszahlung!$AW$8:$AW$41,$B36-Eingaben!$C$6+1),0)</f>
        <v/>
      </c>
      <c r="F36" s="45">
        <f>-$C36+IF(AND($B36&gt;=Eingaben!$C$6,$B36&lt;=Eingaben!$C$6+34-1),INDEX(Auszahlung!$BC$8:$BC$41,$B36-Eingaben!$C$6+1),0)</f>
        <v/>
      </c>
      <c r="G36" s="47">
        <f>1/(1+Eingaben!$C$40)^31</f>
        <v/>
      </c>
      <c r="H36" s="45">
        <f>$G36*(D36+$C36)</f>
        <v/>
      </c>
      <c r="I36" s="45">
        <f>$G36*(E36+$C36)</f>
        <v/>
      </c>
      <c r="J36" s="45">
        <f>$G36*(F36+$C36)</f>
        <v/>
      </c>
      <c r="K36" s="45">
        <f>$G36*$C36</f>
        <v/>
      </c>
    </row>
    <row r="37">
      <c r="A37" s="46">
        <f>2026+32</f>
        <v/>
      </c>
      <c r="B37" s="46">
        <f>Eingaben!$C$5+32</f>
        <v/>
      </c>
      <c r="C37" s="45">
        <f>IF(32&lt;50,INDEX(Ansparphase!$AI$8:$AI$57,32+1),0)</f>
        <v/>
      </c>
      <c r="D37" s="45">
        <f>-$C37+IF(AND($B37&gt;=Eingaben!$C$6,$B37&lt;=Eingaben!$C$6+34-1),INDEX(Auszahlung!$AG$8:$AG$41,$B37-Eingaben!$C$6+1),0)</f>
        <v/>
      </c>
      <c r="E37" s="45">
        <f>-$C37+IF(AND($B37&gt;=Eingaben!$C$6,$B37&lt;=Eingaben!$C$6+34-1),INDEX(Auszahlung!$AW$8:$AW$41,$B37-Eingaben!$C$6+1),0)</f>
        <v/>
      </c>
      <c r="F37" s="45">
        <f>-$C37+IF(AND($B37&gt;=Eingaben!$C$6,$B37&lt;=Eingaben!$C$6+34-1),INDEX(Auszahlung!$BC$8:$BC$41,$B37-Eingaben!$C$6+1),0)</f>
        <v/>
      </c>
      <c r="G37" s="47">
        <f>1/(1+Eingaben!$C$40)^32</f>
        <v/>
      </c>
      <c r="H37" s="45">
        <f>$G37*(D37+$C37)</f>
        <v/>
      </c>
      <c r="I37" s="45">
        <f>$G37*(E37+$C37)</f>
        <v/>
      </c>
      <c r="J37" s="45">
        <f>$G37*(F37+$C37)</f>
        <v/>
      </c>
      <c r="K37" s="45">
        <f>$G37*$C37</f>
        <v/>
      </c>
    </row>
    <row r="38">
      <c r="A38" s="46">
        <f>2026+33</f>
        <v/>
      </c>
      <c r="B38" s="46">
        <f>Eingaben!$C$5+33</f>
        <v/>
      </c>
      <c r="C38" s="45">
        <f>IF(33&lt;50,INDEX(Ansparphase!$AI$8:$AI$57,33+1),0)</f>
        <v/>
      </c>
      <c r="D38" s="45">
        <f>-$C38+IF(AND($B38&gt;=Eingaben!$C$6,$B38&lt;=Eingaben!$C$6+34-1),INDEX(Auszahlung!$AG$8:$AG$41,$B38-Eingaben!$C$6+1),0)</f>
        <v/>
      </c>
      <c r="E38" s="45">
        <f>-$C38+IF(AND($B38&gt;=Eingaben!$C$6,$B38&lt;=Eingaben!$C$6+34-1),INDEX(Auszahlung!$AW$8:$AW$41,$B38-Eingaben!$C$6+1),0)</f>
        <v/>
      </c>
      <c r="F38" s="45">
        <f>-$C38+IF(AND($B38&gt;=Eingaben!$C$6,$B38&lt;=Eingaben!$C$6+34-1),INDEX(Auszahlung!$BC$8:$BC$41,$B38-Eingaben!$C$6+1),0)</f>
        <v/>
      </c>
      <c r="G38" s="47">
        <f>1/(1+Eingaben!$C$40)^33</f>
        <v/>
      </c>
      <c r="H38" s="45">
        <f>$G38*(D38+$C38)</f>
        <v/>
      </c>
      <c r="I38" s="45">
        <f>$G38*(E38+$C38)</f>
        <v/>
      </c>
      <c r="J38" s="45">
        <f>$G38*(F38+$C38)</f>
        <v/>
      </c>
      <c r="K38" s="45">
        <f>$G38*$C38</f>
        <v/>
      </c>
    </row>
    <row r="39">
      <c r="A39" s="46">
        <f>2026+34</f>
        <v/>
      </c>
      <c r="B39" s="46">
        <f>Eingaben!$C$5+34</f>
        <v/>
      </c>
      <c r="C39" s="45">
        <f>IF(34&lt;50,INDEX(Ansparphase!$AI$8:$AI$57,34+1),0)</f>
        <v/>
      </c>
      <c r="D39" s="45">
        <f>-$C39+IF(AND($B39&gt;=Eingaben!$C$6,$B39&lt;=Eingaben!$C$6+34-1),INDEX(Auszahlung!$AG$8:$AG$41,$B39-Eingaben!$C$6+1),0)</f>
        <v/>
      </c>
      <c r="E39" s="45">
        <f>-$C39+IF(AND($B39&gt;=Eingaben!$C$6,$B39&lt;=Eingaben!$C$6+34-1),INDEX(Auszahlung!$AW$8:$AW$41,$B39-Eingaben!$C$6+1),0)</f>
        <v/>
      </c>
      <c r="F39" s="45">
        <f>-$C39+IF(AND($B39&gt;=Eingaben!$C$6,$B39&lt;=Eingaben!$C$6+34-1),INDEX(Auszahlung!$BC$8:$BC$41,$B39-Eingaben!$C$6+1),0)</f>
        <v/>
      </c>
      <c r="G39" s="47">
        <f>1/(1+Eingaben!$C$40)^34</f>
        <v/>
      </c>
      <c r="H39" s="45">
        <f>$G39*(D39+$C39)</f>
        <v/>
      </c>
      <c r="I39" s="45">
        <f>$G39*(E39+$C39)</f>
        <v/>
      </c>
      <c r="J39" s="45">
        <f>$G39*(F39+$C39)</f>
        <v/>
      </c>
      <c r="K39" s="45">
        <f>$G39*$C39</f>
        <v/>
      </c>
    </row>
    <row r="40">
      <c r="A40" s="46">
        <f>2026+35</f>
        <v/>
      </c>
      <c r="B40" s="46">
        <f>Eingaben!$C$5+35</f>
        <v/>
      </c>
      <c r="C40" s="45">
        <f>IF(35&lt;50,INDEX(Ansparphase!$AI$8:$AI$57,35+1),0)</f>
        <v/>
      </c>
      <c r="D40" s="45">
        <f>-$C40+IF(AND($B40&gt;=Eingaben!$C$6,$B40&lt;=Eingaben!$C$6+34-1),INDEX(Auszahlung!$AG$8:$AG$41,$B40-Eingaben!$C$6+1),0)</f>
        <v/>
      </c>
      <c r="E40" s="45">
        <f>-$C40+IF(AND($B40&gt;=Eingaben!$C$6,$B40&lt;=Eingaben!$C$6+34-1),INDEX(Auszahlung!$AW$8:$AW$41,$B40-Eingaben!$C$6+1),0)</f>
        <v/>
      </c>
      <c r="F40" s="45">
        <f>-$C40+IF(AND($B40&gt;=Eingaben!$C$6,$B40&lt;=Eingaben!$C$6+34-1),INDEX(Auszahlung!$BC$8:$BC$41,$B40-Eingaben!$C$6+1),0)</f>
        <v/>
      </c>
      <c r="G40" s="47">
        <f>1/(1+Eingaben!$C$40)^35</f>
        <v/>
      </c>
      <c r="H40" s="45">
        <f>$G40*(D40+$C40)</f>
        <v/>
      </c>
      <c r="I40" s="45">
        <f>$G40*(E40+$C40)</f>
        <v/>
      </c>
      <c r="J40" s="45">
        <f>$G40*(F40+$C40)</f>
        <v/>
      </c>
      <c r="K40" s="45">
        <f>$G40*$C40</f>
        <v/>
      </c>
    </row>
    <row r="41">
      <c r="A41" s="46">
        <f>2026+36</f>
        <v/>
      </c>
      <c r="B41" s="46">
        <f>Eingaben!$C$5+36</f>
        <v/>
      </c>
      <c r="C41" s="45">
        <f>IF(36&lt;50,INDEX(Ansparphase!$AI$8:$AI$57,36+1),0)</f>
        <v/>
      </c>
      <c r="D41" s="45">
        <f>-$C41+IF(AND($B41&gt;=Eingaben!$C$6,$B41&lt;=Eingaben!$C$6+34-1),INDEX(Auszahlung!$AG$8:$AG$41,$B41-Eingaben!$C$6+1),0)</f>
        <v/>
      </c>
      <c r="E41" s="45">
        <f>-$C41+IF(AND($B41&gt;=Eingaben!$C$6,$B41&lt;=Eingaben!$C$6+34-1),INDEX(Auszahlung!$AW$8:$AW$41,$B41-Eingaben!$C$6+1),0)</f>
        <v/>
      </c>
      <c r="F41" s="45">
        <f>-$C41+IF(AND($B41&gt;=Eingaben!$C$6,$B41&lt;=Eingaben!$C$6+34-1),INDEX(Auszahlung!$BC$8:$BC$41,$B41-Eingaben!$C$6+1),0)</f>
        <v/>
      </c>
      <c r="G41" s="47">
        <f>1/(1+Eingaben!$C$40)^36</f>
        <v/>
      </c>
      <c r="H41" s="45">
        <f>$G41*(D41+$C41)</f>
        <v/>
      </c>
      <c r="I41" s="45">
        <f>$G41*(E41+$C41)</f>
        <v/>
      </c>
      <c r="J41" s="45">
        <f>$G41*(F41+$C41)</f>
        <v/>
      </c>
      <c r="K41" s="45">
        <f>$G41*$C41</f>
        <v/>
      </c>
    </row>
    <row r="42">
      <c r="A42" s="46">
        <f>2026+37</f>
        <v/>
      </c>
      <c r="B42" s="46">
        <f>Eingaben!$C$5+37</f>
        <v/>
      </c>
      <c r="C42" s="45">
        <f>IF(37&lt;50,INDEX(Ansparphase!$AI$8:$AI$57,37+1),0)</f>
        <v/>
      </c>
      <c r="D42" s="45">
        <f>-$C42+IF(AND($B42&gt;=Eingaben!$C$6,$B42&lt;=Eingaben!$C$6+34-1),INDEX(Auszahlung!$AG$8:$AG$41,$B42-Eingaben!$C$6+1),0)</f>
        <v/>
      </c>
      <c r="E42" s="45">
        <f>-$C42+IF(AND($B42&gt;=Eingaben!$C$6,$B42&lt;=Eingaben!$C$6+34-1),INDEX(Auszahlung!$AW$8:$AW$41,$B42-Eingaben!$C$6+1),0)</f>
        <v/>
      </c>
      <c r="F42" s="45">
        <f>-$C42+IF(AND($B42&gt;=Eingaben!$C$6,$B42&lt;=Eingaben!$C$6+34-1),INDEX(Auszahlung!$BC$8:$BC$41,$B42-Eingaben!$C$6+1),0)</f>
        <v/>
      </c>
      <c r="G42" s="47">
        <f>1/(1+Eingaben!$C$40)^37</f>
        <v/>
      </c>
      <c r="H42" s="45">
        <f>$G42*(D42+$C42)</f>
        <v/>
      </c>
      <c r="I42" s="45">
        <f>$G42*(E42+$C42)</f>
        <v/>
      </c>
      <c r="J42" s="45">
        <f>$G42*(F42+$C42)</f>
        <v/>
      </c>
      <c r="K42" s="45">
        <f>$G42*$C42</f>
        <v/>
      </c>
    </row>
    <row r="43">
      <c r="A43" s="46">
        <f>2026+38</f>
        <v/>
      </c>
      <c r="B43" s="46">
        <f>Eingaben!$C$5+38</f>
        <v/>
      </c>
      <c r="C43" s="45">
        <f>IF(38&lt;50,INDEX(Ansparphase!$AI$8:$AI$57,38+1),0)</f>
        <v/>
      </c>
      <c r="D43" s="45">
        <f>-$C43+IF(AND($B43&gt;=Eingaben!$C$6,$B43&lt;=Eingaben!$C$6+34-1),INDEX(Auszahlung!$AG$8:$AG$41,$B43-Eingaben!$C$6+1),0)</f>
        <v/>
      </c>
      <c r="E43" s="45">
        <f>-$C43+IF(AND($B43&gt;=Eingaben!$C$6,$B43&lt;=Eingaben!$C$6+34-1),INDEX(Auszahlung!$AW$8:$AW$41,$B43-Eingaben!$C$6+1),0)</f>
        <v/>
      </c>
      <c r="F43" s="45">
        <f>-$C43+IF(AND($B43&gt;=Eingaben!$C$6,$B43&lt;=Eingaben!$C$6+34-1),INDEX(Auszahlung!$BC$8:$BC$41,$B43-Eingaben!$C$6+1),0)</f>
        <v/>
      </c>
      <c r="G43" s="47">
        <f>1/(1+Eingaben!$C$40)^38</f>
        <v/>
      </c>
      <c r="H43" s="45">
        <f>$G43*(D43+$C43)</f>
        <v/>
      </c>
      <c r="I43" s="45">
        <f>$G43*(E43+$C43)</f>
        <v/>
      </c>
      <c r="J43" s="45">
        <f>$G43*(F43+$C43)</f>
        <v/>
      </c>
      <c r="K43" s="45">
        <f>$G43*$C43</f>
        <v/>
      </c>
    </row>
    <row r="44">
      <c r="A44" s="46">
        <f>2026+39</f>
        <v/>
      </c>
      <c r="B44" s="46">
        <f>Eingaben!$C$5+39</f>
        <v/>
      </c>
      <c r="C44" s="45">
        <f>IF(39&lt;50,INDEX(Ansparphase!$AI$8:$AI$57,39+1),0)</f>
        <v/>
      </c>
      <c r="D44" s="45">
        <f>-$C44+IF(AND($B44&gt;=Eingaben!$C$6,$B44&lt;=Eingaben!$C$6+34-1),INDEX(Auszahlung!$AG$8:$AG$41,$B44-Eingaben!$C$6+1),0)</f>
        <v/>
      </c>
      <c r="E44" s="45">
        <f>-$C44+IF(AND($B44&gt;=Eingaben!$C$6,$B44&lt;=Eingaben!$C$6+34-1),INDEX(Auszahlung!$AW$8:$AW$41,$B44-Eingaben!$C$6+1),0)</f>
        <v/>
      </c>
      <c r="F44" s="45">
        <f>-$C44+IF(AND($B44&gt;=Eingaben!$C$6,$B44&lt;=Eingaben!$C$6+34-1),INDEX(Auszahlung!$BC$8:$BC$41,$B44-Eingaben!$C$6+1),0)</f>
        <v/>
      </c>
      <c r="G44" s="47">
        <f>1/(1+Eingaben!$C$40)^39</f>
        <v/>
      </c>
      <c r="H44" s="45">
        <f>$G44*(D44+$C44)</f>
        <v/>
      </c>
      <c r="I44" s="45">
        <f>$G44*(E44+$C44)</f>
        <v/>
      </c>
      <c r="J44" s="45">
        <f>$G44*(F44+$C44)</f>
        <v/>
      </c>
      <c r="K44" s="45">
        <f>$G44*$C44</f>
        <v/>
      </c>
    </row>
    <row r="45">
      <c r="A45" s="46">
        <f>2026+40</f>
        <v/>
      </c>
      <c r="B45" s="46">
        <f>Eingaben!$C$5+40</f>
        <v/>
      </c>
      <c r="C45" s="45">
        <f>IF(40&lt;50,INDEX(Ansparphase!$AI$8:$AI$57,40+1),0)</f>
        <v/>
      </c>
      <c r="D45" s="45">
        <f>-$C45+IF(AND($B45&gt;=Eingaben!$C$6,$B45&lt;=Eingaben!$C$6+34-1),INDEX(Auszahlung!$AG$8:$AG$41,$B45-Eingaben!$C$6+1),0)</f>
        <v/>
      </c>
      <c r="E45" s="45">
        <f>-$C45+IF(AND($B45&gt;=Eingaben!$C$6,$B45&lt;=Eingaben!$C$6+34-1),INDEX(Auszahlung!$AW$8:$AW$41,$B45-Eingaben!$C$6+1),0)</f>
        <v/>
      </c>
      <c r="F45" s="45">
        <f>-$C45+IF(AND($B45&gt;=Eingaben!$C$6,$B45&lt;=Eingaben!$C$6+34-1),INDEX(Auszahlung!$BC$8:$BC$41,$B45-Eingaben!$C$6+1),0)</f>
        <v/>
      </c>
      <c r="G45" s="47">
        <f>1/(1+Eingaben!$C$40)^40</f>
        <v/>
      </c>
      <c r="H45" s="45">
        <f>$G45*(D45+$C45)</f>
        <v/>
      </c>
      <c r="I45" s="45">
        <f>$G45*(E45+$C45)</f>
        <v/>
      </c>
      <c r="J45" s="45">
        <f>$G45*(F45+$C45)</f>
        <v/>
      </c>
      <c r="K45" s="45">
        <f>$G45*$C45</f>
        <v/>
      </c>
    </row>
    <row r="46">
      <c r="A46" s="46">
        <f>2026+41</f>
        <v/>
      </c>
      <c r="B46" s="46">
        <f>Eingaben!$C$5+41</f>
        <v/>
      </c>
      <c r="C46" s="45">
        <f>IF(41&lt;50,INDEX(Ansparphase!$AI$8:$AI$57,41+1),0)</f>
        <v/>
      </c>
      <c r="D46" s="45">
        <f>-$C46+IF(AND($B46&gt;=Eingaben!$C$6,$B46&lt;=Eingaben!$C$6+34-1),INDEX(Auszahlung!$AG$8:$AG$41,$B46-Eingaben!$C$6+1),0)</f>
        <v/>
      </c>
      <c r="E46" s="45">
        <f>-$C46+IF(AND($B46&gt;=Eingaben!$C$6,$B46&lt;=Eingaben!$C$6+34-1),INDEX(Auszahlung!$AW$8:$AW$41,$B46-Eingaben!$C$6+1),0)</f>
        <v/>
      </c>
      <c r="F46" s="45">
        <f>-$C46+IF(AND($B46&gt;=Eingaben!$C$6,$B46&lt;=Eingaben!$C$6+34-1),INDEX(Auszahlung!$BC$8:$BC$41,$B46-Eingaben!$C$6+1),0)</f>
        <v/>
      </c>
      <c r="G46" s="47">
        <f>1/(1+Eingaben!$C$40)^41</f>
        <v/>
      </c>
      <c r="H46" s="45">
        <f>$G46*(D46+$C46)</f>
        <v/>
      </c>
      <c r="I46" s="45">
        <f>$G46*(E46+$C46)</f>
        <v/>
      </c>
      <c r="J46" s="45">
        <f>$G46*(F46+$C46)</f>
        <v/>
      </c>
      <c r="K46" s="45">
        <f>$G46*$C46</f>
        <v/>
      </c>
    </row>
    <row r="47">
      <c r="A47" s="46">
        <f>2026+42</f>
        <v/>
      </c>
      <c r="B47" s="46">
        <f>Eingaben!$C$5+42</f>
        <v/>
      </c>
      <c r="C47" s="45">
        <f>IF(42&lt;50,INDEX(Ansparphase!$AI$8:$AI$57,42+1),0)</f>
        <v/>
      </c>
      <c r="D47" s="45">
        <f>-$C47+IF(AND($B47&gt;=Eingaben!$C$6,$B47&lt;=Eingaben!$C$6+34-1),INDEX(Auszahlung!$AG$8:$AG$41,$B47-Eingaben!$C$6+1),0)</f>
        <v/>
      </c>
      <c r="E47" s="45">
        <f>-$C47+IF(AND($B47&gt;=Eingaben!$C$6,$B47&lt;=Eingaben!$C$6+34-1),INDEX(Auszahlung!$AW$8:$AW$41,$B47-Eingaben!$C$6+1),0)</f>
        <v/>
      </c>
      <c r="F47" s="45">
        <f>-$C47+IF(AND($B47&gt;=Eingaben!$C$6,$B47&lt;=Eingaben!$C$6+34-1),INDEX(Auszahlung!$BC$8:$BC$41,$B47-Eingaben!$C$6+1),0)</f>
        <v/>
      </c>
      <c r="G47" s="47">
        <f>1/(1+Eingaben!$C$40)^42</f>
        <v/>
      </c>
      <c r="H47" s="45">
        <f>$G47*(D47+$C47)</f>
        <v/>
      </c>
      <c r="I47" s="45">
        <f>$G47*(E47+$C47)</f>
        <v/>
      </c>
      <c r="J47" s="45">
        <f>$G47*(F47+$C47)</f>
        <v/>
      </c>
      <c r="K47" s="45">
        <f>$G47*$C47</f>
        <v/>
      </c>
    </row>
    <row r="48">
      <c r="A48" s="46">
        <f>2026+43</f>
        <v/>
      </c>
      <c r="B48" s="46">
        <f>Eingaben!$C$5+43</f>
        <v/>
      </c>
      <c r="C48" s="45">
        <f>IF(43&lt;50,INDEX(Ansparphase!$AI$8:$AI$57,43+1),0)</f>
        <v/>
      </c>
      <c r="D48" s="45">
        <f>-$C48+IF(AND($B48&gt;=Eingaben!$C$6,$B48&lt;=Eingaben!$C$6+34-1),INDEX(Auszahlung!$AG$8:$AG$41,$B48-Eingaben!$C$6+1),0)</f>
        <v/>
      </c>
      <c r="E48" s="45">
        <f>-$C48+IF(AND($B48&gt;=Eingaben!$C$6,$B48&lt;=Eingaben!$C$6+34-1),INDEX(Auszahlung!$AW$8:$AW$41,$B48-Eingaben!$C$6+1),0)</f>
        <v/>
      </c>
      <c r="F48" s="45">
        <f>-$C48+IF(AND($B48&gt;=Eingaben!$C$6,$B48&lt;=Eingaben!$C$6+34-1),INDEX(Auszahlung!$BC$8:$BC$41,$B48-Eingaben!$C$6+1),0)</f>
        <v/>
      </c>
      <c r="G48" s="47">
        <f>1/(1+Eingaben!$C$40)^43</f>
        <v/>
      </c>
      <c r="H48" s="45">
        <f>$G48*(D48+$C48)</f>
        <v/>
      </c>
      <c r="I48" s="45">
        <f>$G48*(E48+$C48)</f>
        <v/>
      </c>
      <c r="J48" s="45">
        <f>$G48*(F48+$C48)</f>
        <v/>
      </c>
      <c r="K48" s="45">
        <f>$G48*$C48</f>
        <v/>
      </c>
    </row>
    <row r="49">
      <c r="A49" s="46">
        <f>2026+44</f>
        <v/>
      </c>
      <c r="B49" s="46">
        <f>Eingaben!$C$5+44</f>
        <v/>
      </c>
      <c r="C49" s="45">
        <f>IF(44&lt;50,INDEX(Ansparphase!$AI$8:$AI$57,44+1),0)</f>
        <v/>
      </c>
      <c r="D49" s="45">
        <f>-$C49+IF(AND($B49&gt;=Eingaben!$C$6,$B49&lt;=Eingaben!$C$6+34-1),INDEX(Auszahlung!$AG$8:$AG$41,$B49-Eingaben!$C$6+1),0)</f>
        <v/>
      </c>
      <c r="E49" s="45">
        <f>-$C49+IF(AND($B49&gt;=Eingaben!$C$6,$B49&lt;=Eingaben!$C$6+34-1),INDEX(Auszahlung!$AW$8:$AW$41,$B49-Eingaben!$C$6+1),0)</f>
        <v/>
      </c>
      <c r="F49" s="45">
        <f>-$C49+IF(AND($B49&gt;=Eingaben!$C$6,$B49&lt;=Eingaben!$C$6+34-1),INDEX(Auszahlung!$BC$8:$BC$41,$B49-Eingaben!$C$6+1),0)</f>
        <v/>
      </c>
      <c r="G49" s="47">
        <f>1/(1+Eingaben!$C$40)^44</f>
        <v/>
      </c>
      <c r="H49" s="45">
        <f>$G49*(D49+$C49)</f>
        <v/>
      </c>
      <c r="I49" s="45">
        <f>$G49*(E49+$C49)</f>
        <v/>
      </c>
      <c r="J49" s="45">
        <f>$G49*(F49+$C49)</f>
        <v/>
      </c>
      <c r="K49" s="45">
        <f>$G49*$C49</f>
        <v/>
      </c>
    </row>
    <row r="50">
      <c r="A50" s="46">
        <f>2026+45</f>
        <v/>
      </c>
      <c r="B50" s="46">
        <f>Eingaben!$C$5+45</f>
        <v/>
      </c>
      <c r="C50" s="45">
        <f>IF(45&lt;50,INDEX(Ansparphase!$AI$8:$AI$57,45+1),0)</f>
        <v/>
      </c>
      <c r="D50" s="45">
        <f>-$C50+IF(AND($B50&gt;=Eingaben!$C$6,$B50&lt;=Eingaben!$C$6+34-1),INDEX(Auszahlung!$AG$8:$AG$41,$B50-Eingaben!$C$6+1),0)</f>
        <v/>
      </c>
      <c r="E50" s="45">
        <f>-$C50+IF(AND($B50&gt;=Eingaben!$C$6,$B50&lt;=Eingaben!$C$6+34-1),INDEX(Auszahlung!$AW$8:$AW$41,$B50-Eingaben!$C$6+1),0)</f>
        <v/>
      </c>
      <c r="F50" s="45">
        <f>-$C50+IF(AND($B50&gt;=Eingaben!$C$6,$B50&lt;=Eingaben!$C$6+34-1),INDEX(Auszahlung!$BC$8:$BC$41,$B50-Eingaben!$C$6+1),0)</f>
        <v/>
      </c>
      <c r="G50" s="47">
        <f>1/(1+Eingaben!$C$40)^45</f>
        <v/>
      </c>
      <c r="H50" s="45">
        <f>$G50*(D50+$C50)</f>
        <v/>
      </c>
      <c r="I50" s="45">
        <f>$G50*(E50+$C50)</f>
        <v/>
      </c>
      <c r="J50" s="45">
        <f>$G50*(F50+$C50)</f>
        <v/>
      </c>
      <c r="K50" s="45">
        <f>$G50*$C50</f>
        <v/>
      </c>
    </row>
    <row r="51">
      <c r="A51" s="46">
        <f>2026+46</f>
        <v/>
      </c>
      <c r="B51" s="46">
        <f>Eingaben!$C$5+46</f>
        <v/>
      </c>
      <c r="C51" s="45">
        <f>IF(46&lt;50,INDEX(Ansparphase!$AI$8:$AI$57,46+1),0)</f>
        <v/>
      </c>
      <c r="D51" s="45">
        <f>-$C51+IF(AND($B51&gt;=Eingaben!$C$6,$B51&lt;=Eingaben!$C$6+34-1),INDEX(Auszahlung!$AG$8:$AG$41,$B51-Eingaben!$C$6+1),0)</f>
        <v/>
      </c>
      <c r="E51" s="45">
        <f>-$C51+IF(AND($B51&gt;=Eingaben!$C$6,$B51&lt;=Eingaben!$C$6+34-1),INDEX(Auszahlung!$AW$8:$AW$41,$B51-Eingaben!$C$6+1),0)</f>
        <v/>
      </c>
      <c r="F51" s="45">
        <f>-$C51+IF(AND($B51&gt;=Eingaben!$C$6,$B51&lt;=Eingaben!$C$6+34-1),INDEX(Auszahlung!$BC$8:$BC$41,$B51-Eingaben!$C$6+1),0)</f>
        <v/>
      </c>
      <c r="G51" s="47">
        <f>1/(1+Eingaben!$C$40)^46</f>
        <v/>
      </c>
      <c r="H51" s="45">
        <f>$G51*(D51+$C51)</f>
        <v/>
      </c>
      <c r="I51" s="45">
        <f>$G51*(E51+$C51)</f>
        <v/>
      </c>
      <c r="J51" s="45">
        <f>$G51*(F51+$C51)</f>
        <v/>
      </c>
      <c r="K51" s="45">
        <f>$G51*$C51</f>
        <v/>
      </c>
    </row>
    <row r="52">
      <c r="A52" s="46">
        <f>2026+47</f>
        <v/>
      </c>
      <c r="B52" s="46">
        <f>Eingaben!$C$5+47</f>
        <v/>
      </c>
      <c r="C52" s="45">
        <f>IF(47&lt;50,INDEX(Ansparphase!$AI$8:$AI$57,47+1),0)</f>
        <v/>
      </c>
      <c r="D52" s="45">
        <f>-$C52+IF(AND($B52&gt;=Eingaben!$C$6,$B52&lt;=Eingaben!$C$6+34-1),INDEX(Auszahlung!$AG$8:$AG$41,$B52-Eingaben!$C$6+1),0)</f>
        <v/>
      </c>
      <c r="E52" s="45">
        <f>-$C52+IF(AND($B52&gt;=Eingaben!$C$6,$B52&lt;=Eingaben!$C$6+34-1),INDEX(Auszahlung!$AW$8:$AW$41,$B52-Eingaben!$C$6+1),0)</f>
        <v/>
      </c>
      <c r="F52" s="45">
        <f>-$C52+IF(AND($B52&gt;=Eingaben!$C$6,$B52&lt;=Eingaben!$C$6+34-1),INDEX(Auszahlung!$BC$8:$BC$41,$B52-Eingaben!$C$6+1),0)</f>
        <v/>
      </c>
      <c r="G52" s="47">
        <f>1/(1+Eingaben!$C$40)^47</f>
        <v/>
      </c>
      <c r="H52" s="45">
        <f>$G52*(D52+$C52)</f>
        <v/>
      </c>
      <c r="I52" s="45">
        <f>$G52*(E52+$C52)</f>
        <v/>
      </c>
      <c r="J52" s="45">
        <f>$G52*(F52+$C52)</f>
        <v/>
      </c>
      <c r="K52" s="45">
        <f>$G52*$C52</f>
        <v/>
      </c>
    </row>
    <row r="53">
      <c r="A53" s="46">
        <f>2026+48</f>
        <v/>
      </c>
      <c r="B53" s="46">
        <f>Eingaben!$C$5+48</f>
        <v/>
      </c>
      <c r="C53" s="45">
        <f>IF(48&lt;50,INDEX(Ansparphase!$AI$8:$AI$57,48+1),0)</f>
        <v/>
      </c>
      <c r="D53" s="45">
        <f>-$C53+IF(AND($B53&gt;=Eingaben!$C$6,$B53&lt;=Eingaben!$C$6+34-1),INDEX(Auszahlung!$AG$8:$AG$41,$B53-Eingaben!$C$6+1),0)</f>
        <v/>
      </c>
      <c r="E53" s="45">
        <f>-$C53+IF(AND($B53&gt;=Eingaben!$C$6,$B53&lt;=Eingaben!$C$6+34-1),INDEX(Auszahlung!$AW$8:$AW$41,$B53-Eingaben!$C$6+1),0)</f>
        <v/>
      </c>
      <c r="F53" s="45">
        <f>-$C53+IF(AND($B53&gt;=Eingaben!$C$6,$B53&lt;=Eingaben!$C$6+34-1),INDEX(Auszahlung!$BC$8:$BC$41,$B53-Eingaben!$C$6+1),0)</f>
        <v/>
      </c>
      <c r="G53" s="47">
        <f>1/(1+Eingaben!$C$40)^48</f>
        <v/>
      </c>
      <c r="H53" s="45">
        <f>$G53*(D53+$C53)</f>
        <v/>
      </c>
      <c r="I53" s="45">
        <f>$G53*(E53+$C53)</f>
        <v/>
      </c>
      <c r="J53" s="45">
        <f>$G53*(F53+$C53)</f>
        <v/>
      </c>
      <c r="K53" s="45">
        <f>$G53*$C53</f>
        <v/>
      </c>
    </row>
    <row r="54">
      <c r="A54" s="46">
        <f>2026+49</f>
        <v/>
      </c>
      <c r="B54" s="46">
        <f>Eingaben!$C$5+49</f>
        <v/>
      </c>
      <c r="C54" s="45">
        <f>IF(49&lt;50,INDEX(Ansparphase!$AI$8:$AI$57,49+1),0)</f>
        <v/>
      </c>
      <c r="D54" s="45">
        <f>-$C54+IF(AND($B54&gt;=Eingaben!$C$6,$B54&lt;=Eingaben!$C$6+34-1),INDEX(Auszahlung!$AG$8:$AG$41,$B54-Eingaben!$C$6+1),0)</f>
        <v/>
      </c>
      <c r="E54" s="45">
        <f>-$C54+IF(AND($B54&gt;=Eingaben!$C$6,$B54&lt;=Eingaben!$C$6+34-1),INDEX(Auszahlung!$AW$8:$AW$41,$B54-Eingaben!$C$6+1),0)</f>
        <v/>
      </c>
      <c r="F54" s="45">
        <f>-$C54+IF(AND($B54&gt;=Eingaben!$C$6,$B54&lt;=Eingaben!$C$6+34-1),INDEX(Auszahlung!$BC$8:$BC$41,$B54-Eingaben!$C$6+1),0)</f>
        <v/>
      </c>
      <c r="G54" s="47">
        <f>1/(1+Eingaben!$C$40)^49</f>
        <v/>
      </c>
      <c r="H54" s="45">
        <f>$G54*(D54+$C54)</f>
        <v/>
      </c>
      <c r="I54" s="45">
        <f>$G54*(E54+$C54)</f>
        <v/>
      </c>
      <c r="J54" s="45">
        <f>$G54*(F54+$C54)</f>
        <v/>
      </c>
      <c r="K54" s="45">
        <f>$G54*$C54</f>
        <v/>
      </c>
    </row>
    <row r="55">
      <c r="A55" s="46">
        <f>2026+50</f>
        <v/>
      </c>
      <c r="B55" s="46">
        <f>Eingaben!$C$5+50</f>
        <v/>
      </c>
      <c r="C55" s="45">
        <f>IF(50&lt;50,INDEX(Ansparphase!$AI$8:$AI$57,50+1),0)</f>
        <v/>
      </c>
      <c r="D55" s="45">
        <f>-$C55+IF(AND($B55&gt;=Eingaben!$C$6,$B55&lt;=Eingaben!$C$6+34-1),INDEX(Auszahlung!$AG$8:$AG$41,$B55-Eingaben!$C$6+1),0)</f>
        <v/>
      </c>
      <c r="E55" s="45">
        <f>-$C55+IF(AND($B55&gt;=Eingaben!$C$6,$B55&lt;=Eingaben!$C$6+34-1),INDEX(Auszahlung!$AW$8:$AW$41,$B55-Eingaben!$C$6+1),0)</f>
        <v/>
      </c>
      <c r="F55" s="45">
        <f>-$C55+IF(AND($B55&gt;=Eingaben!$C$6,$B55&lt;=Eingaben!$C$6+34-1),INDEX(Auszahlung!$BC$8:$BC$41,$B55-Eingaben!$C$6+1),0)</f>
        <v/>
      </c>
      <c r="G55" s="47">
        <f>1/(1+Eingaben!$C$40)^50</f>
        <v/>
      </c>
      <c r="H55" s="45">
        <f>$G55*(D55+$C55)</f>
        <v/>
      </c>
      <c r="I55" s="45">
        <f>$G55*(E55+$C55)</f>
        <v/>
      </c>
      <c r="J55" s="45">
        <f>$G55*(F55+$C55)</f>
        <v/>
      </c>
      <c r="K55" s="45">
        <f>$G55*$C55</f>
        <v/>
      </c>
    </row>
    <row r="56">
      <c r="A56" s="46">
        <f>2026+51</f>
        <v/>
      </c>
      <c r="B56" s="46">
        <f>Eingaben!$C$5+51</f>
        <v/>
      </c>
      <c r="C56" s="45">
        <f>IF(51&lt;50,INDEX(Ansparphase!$AI$8:$AI$57,51+1),0)</f>
        <v/>
      </c>
      <c r="D56" s="45">
        <f>-$C56+IF(AND($B56&gt;=Eingaben!$C$6,$B56&lt;=Eingaben!$C$6+34-1),INDEX(Auszahlung!$AG$8:$AG$41,$B56-Eingaben!$C$6+1),0)</f>
        <v/>
      </c>
      <c r="E56" s="45">
        <f>-$C56+IF(AND($B56&gt;=Eingaben!$C$6,$B56&lt;=Eingaben!$C$6+34-1),INDEX(Auszahlung!$AW$8:$AW$41,$B56-Eingaben!$C$6+1),0)</f>
        <v/>
      </c>
      <c r="F56" s="45">
        <f>-$C56+IF(AND($B56&gt;=Eingaben!$C$6,$B56&lt;=Eingaben!$C$6+34-1),INDEX(Auszahlung!$BC$8:$BC$41,$B56-Eingaben!$C$6+1),0)</f>
        <v/>
      </c>
      <c r="G56" s="47">
        <f>1/(1+Eingaben!$C$40)^51</f>
        <v/>
      </c>
      <c r="H56" s="45">
        <f>$G56*(D56+$C56)</f>
        <v/>
      </c>
      <c r="I56" s="45">
        <f>$G56*(E56+$C56)</f>
        <v/>
      </c>
      <c r="J56" s="45">
        <f>$G56*(F56+$C56)</f>
        <v/>
      </c>
      <c r="K56" s="45">
        <f>$G56*$C56</f>
        <v/>
      </c>
    </row>
    <row r="57">
      <c r="A57" s="46">
        <f>2026+52</f>
        <v/>
      </c>
      <c r="B57" s="46">
        <f>Eingaben!$C$5+52</f>
        <v/>
      </c>
      <c r="C57" s="45">
        <f>IF(52&lt;50,INDEX(Ansparphase!$AI$8:$AI$57,52+1),0)</f>
        <v/>
      </c>
      <c r="D57" s="45">
        <f>-$C57+IF(AND($B57&gt;=Eingaben!$C$6,$B57&lt;=Eingaben!$C$6+34-1),INDEX(Auszahlung!$AG$8:$AG$41,$B57-Eingaben!$C$6+1),0)</f>
        <v/>
      </c>
      <c r="E57" s="45">
        <f>-$C57+IF(AND($B57&gt;=Eingaben!$C$6,$B57&lt;=Eingaben!$C$6+34-1),INDEX(Auszahlung!$AW$8:$AW$41,$B57-Eingaben!$C$6+1),0)</f>
        <v/>
      </c>
      <c r="F57" s="45">
        <f>-$C57+IF(AND($B57&gt;=Eingaben!$C$6,$B57&lt;=Eingaben!$C$6+34-1),INDEX(Auszahlung!$BC$8:$BC$41,$B57-Eingaben!$C$6+1),0)</f>
        <v/>
      </c>
      <c r="G57" s="47">
        <f>1/(1+Eingaben!$C$40)^52</f>
        <v/>
      </c>
      <c r="H57" s="45">
        <f>$G57*(D57+$C57)</f>
        <v/>
      </c>
      <c r="I57" s="45">
        <f>$G57*(E57+$C57)</f>
        <v/>
      </c>
      <c r="J57" s="45">
        <f>$G57*(F57+$C57)</f>
        <v/>
      </c>
      <c r="K57" s="45">
        <f>$G57*$C57</f>
        <v/>
      </c>
    </row>
    <row r="58">
      <c r="A58" s="46">
        <f>2026+53</f>
        <v/>
      </c>
      <c r="B58" s="46">
        <f>Eingaben!$C$5+53</f>
        <v/>
      </c>
      <c r="C58" s="45">
        <f>IF(53&lt;50,INDEX(Ansparphase!$AI$8:$AI$57,53+1),0)</f>
        <v/>
      </c>
      <c r="D58" s="45">
        <f>-$C58+IF(AND($B58&gt;=Eingaben!$C$6,$B58&lt;=Eingaben!$C$6+34-1),INDEX(Auszahlung!$AG$8:$AG$41,$B58-Eingaben!$C$6+1),0)</f>
        <v/>
      </c>
      <c r="E58" s="45">
        <f>-$C58+IF(AND($B58&gt;=Eingaben!$C$6,$B58&lt;=Eingaben!$C$6+34-1),INDEX(Auszahlung!$AW$8:$AW$41,$B58-Eingaben!$C$6+1),0)</f>
        <v/>
      </c>
      <c r="F58" s="45">
        <f>-$C58+IF(AND($B58&gt;=Eingaben!$C$6,$B58&lt;=Eingaben!$C$6+34-1),INDEX(Auszahlung!$BC$8:$BC$41,$B58-Eingaben!$C$6+1),0)</f>
        <v/>
      </c>
      <c r="G58" s="47">
        <f>1/(1+Eingaben!$C$40)^53</f>
        <v/>
      </c>
      <c r="H58" s="45">
        <f>$G58*(D58+$C58)</f>
        <v/>
      </c>
      <c r="I58" s="45">
        <f>$G58*(E58+$C58)</f>
        <v/>
      </c>
      <c r="J58" s="45">
        <f>$G58*(F58+$C58)</f>
        <v/>
      </c>
      <c r="K58" s="45">
        <f>$G58*$C58</f>
        <v/>
      </c>
    </row>
    <row r="59">
      <c r="A59" s="46">
        <f>2026+54</f>
        <v/>
      </c>
      <c r="B59" s="46">
        <f>Eingaben!$C$5+54</f>
        <v/>
      </c>
      <c r="C59" s="45">
        <f>IF(54&lt;50,INDEX(Ansparphase!$AI$8:$AI$57,54+1),0)</f>
        <v/>
      </c>
      <c r="D59" s="45">
        <f>-$C59+IF(AND($B59&gt;=Eingaben!$C$6,$B59&lt;=Eingaben!$C$6+34-1),INDEX(Auszahlung!$AG$8:$AG$41,$B59-Eingaben!$C$6+1),0)</f>
        <v/>
      </c>
      <c r="E59" s="45">
        <f>-$C59+IF(AND($B59&gt;=Eingaben!$C$6,$B59&lt;=Eingaben!$C$6+34-1),INDEX(Auszahlung!$AW$8:$AW$41,$B59-Eingaben!$C$6+1),0)</f>
        <v/>
      </c>
      <c r="F59" s="45">
        <f>-$C59+IF(AND($B59&gt;=Eingaben!$C$6,$B59&lt;=Eingaben!$C$6+34-1),INDEX(Auszahlung!$BC$8:$BC$41,$B59-Eingaben!$C$6+1),0)</f>
        <v/>
      </c>
      <c r="G59" s="47">
        <f>1/(1+Eingaben!$C$40)^54</f>
        <v/>
      </c>
      <c r="H59" s="45">
        <f>$G59*(D59+$C59)</f>
        <v/>
      </c>
      <c r="I59" s="45">
        <f>$G59*(E59+$C59)</f>
        <v/>
      </c>
      <c r="J59" s="45">
        <f>$G59*(F59+$C59)</f>
        <v/>
      </c>
      <c r="K59" s="45">
        <f>$G59*$C59</f>
        <v/>
      </c>
    </row>
    <row r="60">
      <c r="A60" s="46">
        <f>2026+55</f>
        <v/>
      </c>
      <c r="B60" s="46">
        <f>Eingaben!$C$5+55</f>
        <v/>
      </c>
      <c r="C60" s="45">
        <f>IF(55&lt;50,INDEX(Ansparphase!$AI$8:$AI$57,55+1),0)</f>
        <v/>
      </c>
      <c r="D60" s="45">
        <f>-$C60+IF(AND($B60&gt;=Eingaben!$C$6,$B60&lt;=Eingaben!$C$6+34-1),INDEX(Auszahlung!$AG$8:$AG$41,$B60-Eingaben!$C$6+1),0)</f>
        <v/>
      </c>
      <c r="E60" s="45">
        <f>-$C60+IF(AND($B60&gt;=Eingaben!$C$6,$B60&lt;=Eingaben!$C$6+34-1),INDEX(Auszahlung!$AW$8:$AW$41,$B60-Eingaben!$C$6+1),0)</f>
        <v/>
      </c>
      <c r="F60" s="45">
        <f>-$C60+IF(AND($B60&gt;=Eingaben!$C$6,$B60&lt;=Eingaben!$C$6+34-1),INDEX(Auszahlung!$BC$8:$BC$41,$B60-Eingaben!$C$6+1),0)</f>
        <v/>
      </c>
      <c r="G60" s="47">
        <f>1/(1+Eingaben!$C$40)^55</f>
        <v/>
      </c>
      <c r="H60" s="45">
        <f>$G60*(D60+$C60)</f>
        <v/>
      </c>
      <c r="I60" s="45">
        <f>$G60*(E60+$C60)</f>
        <v/>
      </c>
      <c r="J60" s="45">
        <f>$G60*(F60+$C60)</f>
        <v/>
      </c>
      <c r="K60" s="45">
        <f>$G60*$C60</f>
        <v/>
      </c>
    </row>
    <row r="61">
      <c r="A61" s="46">
        <f>2026+56</f>
        <v/>
      </c>
      <c r="B61" s="46">
        <f>Eingaben!$C$5+56</f>
        <v/>
      </c>
      <c r="C61" s="45">
        <f>IF(56&lt;50,INDEX(Ansparphase!$AI$8:$AI$57,56+1),0)</f>
        <v/>
      </c>
      <c r="D61" s="45">
        <f>-$C61+IF(AND($B61&gt;=Eingaben!$C$6,$B61&lt;=Eingaben!$C$6+34-1),INDEX(Auszahlung!$AG$8:$AG$41,$B61-Eingaben!$C$6+1),0)</f>
        <v/>
      </c>
      <c r="E61" s="45">
        <f>-$C61+IF(AND($B61&gt;=Eingaben!$C$6,$B61&lt;=Eingaben!$C$6+34-1),INDEX(Auszahlung!$AW$8:$AW$41,$B61-Eingaben!$C$6+1),0)</f>
        <v/>
      </c>
      <c r="F61" s="45">
        <f>-$C61+IF(AND($B61&gt;=Eingaben!$C$6,$B61&lt;=Eingaben!$C$6+34-1),INDEX(Auszahlung!$BC$8:$BC$41,$B61-Eingaben!$C$6+1),0)</f>
        <v/>
      </c>
      <c r="G61" s="47">
        <f>1/(1+Eingaben!$C$40)^56</f>
        <v/>
      </c>
      <c r="H61" s="45">
        <f>$G61*(D61+$C61)</f>
        <v/>
      </c>
      <c r="I61" s="45">
        <f>$G61*(E61+$C61)</f>
        <v/>
      </c>
      <c r="J61" s="45">
        <f>$G61*(F61+$C61)</f>
        <v/>
      </c>
      <c r="K61" s="45">
        <f>$G61*$C61</f>
        <v/>
      </c>
    </row>
    <row r="62">
      <c r="A62" s="46">
        <f>2026+57</f>
        <v/>
      </c>
      <c r="B62" s="46">
        <f>Eingaben!$C$5+57</f>
        <v/>
      </c>
      <c r="C62" s="45">
        <f>IF(57&lt;50,INDEX(Ansparphase!$AI$8:$AI$57,57+1),0)</f>
        <v/>
      </c>
      <c r="D62" s="45">
        <f>-$C62+IF(AND($B62&gt;=Eingaben!$C$6,$B62&lt;=Eingaben!$C$6+34-1),INDEX(Auszahlung!$AG$8:$AG$41,$B62-Eingaben!$C$6+1),0)</f>
        <v/>
      </c>
      <c r="E62" s="45">
        <f>-$C62+IF(AND($B62&gt;=Eingaben!$C$6,$B62&lt;=Eingaben!$C$6+34-1),INDEX(Auszahlung!$AW$8:$AW$41,$B62-Eingaben!$C$6+1),0)</f>
        <v/>
      </c>
      <c r="F62" s="45">
        <f>-$C62+IF(AND($B62&gt;=Eingaben!$C$6,$B62&lt;=Eingaben!$C$6+34-1),INDEX(Auszahlung!$BC$8:$BC$41,$B62-Eingaben!$C$6+1),0)</f>
        <v/>
      </c>
      <c r="G62" s="47">
        <f>1/(1+Eingaben!$C$40)^57</f>
        <v/>
      </c>
      <c r="H62" s="45">
        <f>$G62*(D62+$C62)</f>
        <v/>
      </c>
      <c r="I62" s="45">
        <f>$G62*(E62+$C62)</f>
        <v/>
      </c>
      <c r="J62" s="45">
        <f>$G62*(F62+$C62)</f>
        <v/>
      </c>
      <c r="K62" s="45">
        <f>$G62*$C62</f>
        <v/>
      </c>
    </row>
    <row r="63">
      <c r="A63" s="46">
        <f>2026+58</f>
        <v/>
      </c>
      <c r="B63" s="46">
        <f>Eingaben!$C$5+58</f>
        <v/>
      </c>
      <c r="C63" s="45">
        <f>IF(58&lt;50,INDEX(Ansparphase!$AI$8:$AI$57,58+1),0)</f>
        <v/>
      </c>
      <c r="D63" s="45">
        <f>-$C63+IF(AND($B63&gt;=Eingaben!$C$6,$B63&lt;=Eingaben!$C$6+34-1),INDEX(Auszahlung!$AG$8:$AG$41,$B63-Eingaben!$C$6+1),0)</f>
        <v/>
      </c>
      <c r="E63" s="45">
        <f>-$C63+IF(AND($B63&gt;=Eingaben!$C$6,$B63&lt;=Eingaben!$C$6+34-1),INDEX(Auszahlung!$AW$8:$AW$41,$B63-Eingaben!$C$6+1),0)</f>
        <v/>
      </c>
      <c r="F63" s="45">
        <f>-$C63+IF(AND($B63&gt;=Eingaben!$C$6,$B63&lt;=Eingaben!$C$6+34-1),INDEX(Auszahlung!$BC$8:$BC$41,$B63-Eingaben!$C$6+1),0)</f>
        <v/>
      </c>
      <c r="G63" s="47">
        <f>1/(1+Eingaben!$C$40)^58</f>
        <v/>
      </c>
      <c r="H63" s="45">
        <f>$G63*(D63+$C63)</f>
        <v/>
      </c>
      <c r="I63" s="45">
        <f>$G63*(E63+$C63)</f>
        <v/>
      </c>
      <c r="J63" s="45">
        <f>$G63*(F63+$C63)</f>
        <v/>
      </c>
      <c r="K63" s="45">
        <f>$G63*$C63</f>
        <v/>
      </c>
    </row>
    <row r="64">
      <c r="A64" s="46">
        <f>2026+59</f>
        <v/>
      </c>
      <c r="B64" s="46">
        <f>Eingaben!$C$5+59</f>
        <v/>
      </c>
      <c r="C64" s="45">
        <f>IF(59&lt;50,INDEX(Ansparphase!$AI$8:$AI$57,59+1),0)</f>
        <v/>
      </c>
      <c r="D64" s="45">
        <f>-$C64+IF(AND($B64&gt;=Eingaben!$C$6,$B64&lt;=Eingaben!$C$6+34-1),INDEX(Auszahlung!$AG$8:$AG$41,$B64-Eingaben!$C$6+1),0)</f>
        <v/>
      </c>
      <c r="E64" s="45">
        <f>-$C64+IF(AND($B64&gt;=Eingaben!$C$6,$B64&lt;=Eingaben!$C$6+34-1),INDEX(Auszahlung!$AW$8:$AW$41,$B64-Eingaben!$C$6+1),0)</f>
        <v/>
      </c>
      <c r="F64" s="45">
        <f>-$C64+IF(AND($B64&gt;=Eingaben!$C$6,$B64&lt;=Eingaben!$C$6+34-1),INDEX(Auszahlung!$BC$8:$BC$41,$B64-Eingaben!$C$6+1),0)</f>
        <v/>
      </c>
      <c r="G64" s="47">
        <f>1/(1+Eingaben!$C$40)^59</f>
        <v/>
      </c>
      <c r="H64" s="45">
        <f>$G64*(D64+$C64)</f>
        <v/>
      </c>
      <c r="I64" s="45">
        <f>$G64*(E64+$C64)</f>
        <v/>
      </c>
      <c r="J64" s="45">
        <f>$G64*(F64+$C64)</f>
        <v/>
      </c>
      <c r="K64" s="45">
        <f>$G64*$C64</f>
        <v/>
      </c>
    </row>
    <row r="65">
      <c r="A65" s="46">
        <f>2026+60</f>
        <v/>
      </c>
      <c r="B65" s="46">
        <f>Eingaben!$C$5+60</f>
        <v/>
      </c>
      <c r="C65" s="45">
        <f>IF(60&lt;50,INDEX(Ansparphase!$AI$8:$AI$57,60+1),0)</f>
        <v/>
      </c>
      <c r="D65" s="45">
        <f>-$C65+IF(AND($B65&gt;=Eingaben!$C$6,$B65&lt;=Eingaben!$C$6+34-1),INDEX(Auszahlung!$AG$8:$AG$41,$B65-Eingaben!$C$6+1),0)</f>
        <v/>
      </c>
      <c r="E65" s="45">
        <f>-$C65+IF(AND($B65&gt;=Eingaben!$C$6,$B65&lt;=Eingaben!$C$6+34-1),INDEX(Auszahlung!$AW$8:$AW$41,$B65-Eingaben!$C$6+1),0)</f>
        <v/>
      </c>
      <c r="F65" s="45">
        <f>-$C65+IF(AND($B65&gt;=Eingaben!$C$6,$B65&lt;=Eingaben!$C$6+34-1),INDEX(Auszahlung!$BC$8:$BC$41,$B65-Eingaben!$C$6+1),0)</f>
        <v/>
      </c>
      <c r="G65" s="47">
        <f>1/(1+Eingaben!$C$40)^60</f>
        <v/>
      </c>
      <c r="H65" s="45">
        <f>$G65*(D65+$C65)</f>
        <v/>
      </c>
      <c r="I65" s="45">
        <f>$G65*(E65+$C65)</f>
        <v/>
      </c>
      <c r="J65" s="45">
        <f>$G65*(F65+$C65)</f>
        <v/>
      </c>
      <c r="K65" s="45">
        <f>$G65*$C65</f>
        <v/>
      </c>
    </row>
    <row r="66">
      <c r="A66" s="46">
        <f>2026+61</f>
        <v/>
      </c>
      <c r="B66" s="46">
        <f>Eingaben!$C$5+61</f>
        <v/>
      </c>
      <c r="C66" s="45">
        <f>IF(61&lt;50,INDEX(Ansparphase!$AI$8:$AI$57,61+1),0)</f>
        <v/>
      </c>
      <c r="D66" s="45">
        <f>-$C66+IF(AND($B66&gt;=Eingaben!$C$6,$B66&lt;=Eingaben!$C$6+34-1),INDEX(Auszahlung!$AG$8:$AG$41,$B66-Eingaben!$C$6+1),0)</f>
        <v/>
      </c>
      <c r="E66" s="45">
        <f>-$C66+IF(AND($B66&gt;=Eingaben!$C$6,$B66&lt;=Eingaben!$C$6+34-1),INDEX(Auszahlung!$AW$8:$AW$41,$B66-Eingaben!$C$6+1),0)</f>
        <v/>
      </c>
      <c r="F66" s="45">
        <f>-$C66+IF(AND($B66&gt;=Eingaben!$C$6,$B66&lt;=Eingaben!$C$6+34-1),INDEX(Auszahlung!$BC$8:$BC$41,$B66-Eingaben!$C$6+1),0)</f>
        <v/>
      </c>
      <c r="G66" s="47">
        <f>1/(1+Eingaben!$C$40)^61</f>
        <v/>
      </c>
      <c r="H66" s="45">
        <f>$G66*(D66+$C66)</f>
        <v/>
      </c>
      <c r="I66" s="45">
        <f>$G66*(E66+$C66)</f>
        <v/>
      </c>
      <c r="J66" s="45">
        <f>$G66*(F66+$C66)</f>
        <v/>
      </c>
      <c r="K66" s="45">
        <f>$G66*$C66</f>
        <v/>
      </c>
    </row>
    <row r="67">
      <c r="A67" s="46">
        <f>2026+62</f>
        <v/>
      </c>
      <c r="B67" s="46">
        <f>Eingaben!$C$5+62</f>
        <v/>
      </c>
      <c r="C67" s="45">
        <f>IF(62&lt;50,INDEX(Ansparphase!$AI$8:$AI$57,62+1),0)</f>
        <v/>
      </c>
      <c r="D67" s="45">
        <f>-$C67+IF(AND($B67&gt;=Eingaben!$C$6,$B67&lt;=Eingaben!$C$6+34-1),INDEX(Auszahlung!$AG$8:$AG$41,$B67-Eingaben!$C$6+1),0)</f>
        <v/>
      </c>
      <c r="E67" s="45">
        <f>-$C67+IF(AND($B67&gt;=Eingaben!$C$6,$B67&lt;=Eingaben!$C$6+34-1),INDEX(Auszahlung!$AW$8:$AW$41,$B67-Eingaben!$C$6+1),0)</f>
        <v/>
      </c>
      <c r="F67" s="45">
        <f>-$C67+IF(AND($B67&gt;=Eingaben!$C$6,$B67&lt;=Eingaben!$C$6+34-1),INDEX(Auszahlung!$BC$8:$BC$41,$B67-Eingaben!$C$6+1),0)</f>
        <v/>
      </c>
      <c r="G67" s="47">
        <f>1/(1+Eingaben!$C$40)^62</f>
        <v/>
      </c>
      <c r="H67" s="45">
        <f>$G67*(D67+$C67)</f>
        <v/>
      </c>
      <c r="I67" s="45">
        <f>$G67*(E67+$C67)</f>
        <v/>
      </c>
      <c r="J67" s="45">
        <f>$G67*(F67+$C67)</f>
        <v/>
      </c>
      <c r="K67" s="45">
        <f>$G67*$C67</f>
        <v/>
      </c>
    </row>
    <row r="68">
      <c r="A68" s="46">
        <f>2026+63</f>
        <v/>
      </c>
      <c r="B68" s="46">
        <f>Eingaben!$C$5+63</f>
        <v/>
      </c>
      <c r="C68" s="45">
        <f>IF(63&lt;50,INDEX(Ansparphase!$AI$8:$AI$57,63+1),0)</f>
        <v/>
      </c>
      <c r="D68" s="45">
        <f>-$C68+IF(AND($B68&gt;=Eingaben!$C$6,$B68&lt;=Eingaben!$C$6+34-1),INDEX(Auszahlung!$AG$8:$AG$41,$B68-Eingaben!$C$6+1),0)</f>
        <v/>
      </c>
      <c r="E68" s="45">
        <f>-$C68+IF(AND($B68&gt;=Eingaben!$C$6,$B68&lt;=Eingaben!$C$6+34-1),INDEX(Auszahlung!$AW$8:$AW$41,$B68-Eingaben!$C$6+1),0)</f>
        <v/>
      </c>
      <c r="F68" s="45">
        <f>-$C68+IF(AND($B68&gt;=Eingaben!$C$6,$B68&lt;=Eingaben!$C$6+34-1),INDEX(Auszahlung!$BC$8:$BC$41,$B68-Eingaben!$C$6+1),0)</f>
        <v/>
      </c>
      <c r="G68" s="47">
        <f>1/(1+Eingaben!$C$40)^63</f>
        <v/>
      </c>
      <c r="H68" s="45">
        <f>$G68*(D68+$C68)</f>
        <v/>
      </c>
      <c r="I68" s="45">
        <f>$G68*(E68+$C68)</f>
        <v/>
      </c>
      <c r="J68" s="45">
        <f>$G68*(F68+$C68)</f>
        <v/>
      </c>
      <c r="K68" s="45">
        <f>$G68*$C68</f>
        <v/>
      </c>
    </row>
    <row r="69">
      <c r="A69" s="46">
        <f>2026+64</f>
        <v/>
      </c>
      <c r="B69" s="46">
        <f>Eingaben!$C$5+64</f>
        <v/>
      </c>
      <c r="C69" s="45">
        <f>IF(64&lt;50,INDEX(Ansparphase!$AI$8:$AI$57,64+1),0)</f>
        <v/>
      </c>
      <c r="D69" s="45">
        <f>-$C69+IF(AND($B69&gt;=Eingaben!$C$6,$B69&lt;=Eingaben!$C$6+34-1),INDEX(Auszahlung!$AG$8:$AG$41,$B69-Eingaben!$C$6+1),0)</f>
        <v/>
      </c>
      <c r="E69" s="45">
        <f>-$C69+IF(AND($B69&gt;=Eingaben!$C$6,$B69&lt;=Eingaben!$C$6+34-1),INDEX(Auszahlung!$AW$8:$AW$41,$B69-Eingaben!$C$6+1),0)</f>
        <v/>
      </c>
      <c r="F69" s="45">
        <f>-$C69+IF(AND($B69&gt;=Eingaben!$C$6,$B69&lt;=Eingaben!$C$6+34-1),INDEX(Auszahlung!$BC$8:$BC$41,$B69-Eingaben!$C$6+1),0)</f>
        <v/>
      </c>
      <c r="G69" s="47">
        <f>1/(1+Eingaben!$C$40)^64</f>
        <v/>
      </c>
      <c r="H69" s="45">
        <f>$G69*(D69+$C69)</f>
        <v/>
      </c>
      <c r="I69" s="45">
        <f>$G69*(E69+$C69)</f>
        <v/>
      </c>
      <c r="J69" s="45">
        <f>$G69*(F69+$C69)</f>
        <v/>
      </c>
      <c r="K69" s="45">
        <f>$G69*$C69</f>
        <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52"/>
  <sheetViews>
    <sheetView showGridLines="0" workbookViewId="0">
      <selection activeCell="A1" sqref="A1"/>
    </sheetView>
  </sheetViews>
  <sheetFormatPr baseColWidth="8" defaultRowHeight="15"/>
  <cols>
    <col width="58" customWidth="1" min="1" max="1"/>
    <col width="20" customWidth="1" min="2" max="2"/>
    <col width="20" customWidth="1" min="3" max="3"/>
    <col width="20" customWidth="1" min="4" max="4"/>
    <col width="86" customWidth="1" min="5" max="5"/>
  </cols>
  <sheetData>
    <row r="1">
      <c r="A1" s="1" t="inlineStr">
        <is>
          <t>Ergebnisvergleich</t>
        </is>
      </c>
    </row>
    <row r="2">
      <c r="A2" s="10" t="inlineStr">
        <is>
          <t>Alle drei Optionen kosten in der Ansparphase exakt denselben Betrag aus dem Netto.</t>
        </is>
      </c>
    </row>
    <row r="4">
      <c r="A4" s="29" t="inlineStr"/>
      <c r="B4" s="29" t="inlineStr">
        <is>
          <t>bAV mit DYNO</t>
        </is>
      </c>
      <c r="C4" s="29" t="inlineStr">
        <is>
          <t>Altersvorsorgedepot</t>
        </is>
      </c>
      <c r="D4" s="29" t="inlineStr">
        <is>
          <t>privates ETF-Depot</t>
        </is>
      </c>
      <c r="E4" s="29" t="inlineStr">
        <is>
          <t>Anmerkung</t>
        </is>
      </c>
    </row>
    <row r="5">
      <c r="A5" s="3" t="inlineStr">
        <is>
          <t>Summe eingezahlt aus dem Netto (nominal)</t>
        </is>
      </c>
      <c r="B5" s="27">
        <f>SUM(Ansparphase!$AI$8:$AI$57)</f>
        <v/>
      </c>
      <c r="C5" s="27">
        <f>B5</f>
        <v/>
      </c>
      <c r="D5" s="27">
        <f>B5</f>
        <v/>
      </c>
      <c r="E5" s="48" t="inlineStr">
        <is>
          <t>Identisch nach Konstruktion - das ist die Bedingung fuer einen fairen Vergleich.</t>
        </is>
      </c>
    </row>
    <row r="6">
      <c r="A6" s="3" t="inlineStr">
        <is>
          <t>Summe Fremdgeld (AG-Zuschuss bzw. Zulagen)</t>
        </is>
      </c>
      <c r="B6" s="27">
        <f>SUM(Ansparphase!$P$8:$P$57)</f>
        <v/>
      </c>
      <c r="C6" s="27">
        <f>SUM(Ansparphase!$AM$8:$AM$57)</f>
        <v/>
      </c>
      <c r="D6" s="27">
        <f>0</f>
        <v/>
      </c>
      <c r="E6" s="48" t="inlineStr">
        <is>
          <t>Der Arbeitgeberzuschuss ist der eigentliche Grund, warum eine bAV attraktiv sein kann.</t>
        </is>
      </c>
    </row>
    <row r="7">
      <c r="A7" s="3" t="inlineStr">
        <is>
          <t>Kapital bei Auszahlungsbeginn (vor Steuern)</t>
        </is>
      </c>
      <c r="B7" s="27">
        <f>(Ansparphase!$AY$57+Ansparphase!$AZ$57)</f>
        <v/>
      </c>
      <c r="C7" s="27">
        <f>Ansparphase!$BA$57+Ansparphase!$BB$57+Ansparphase!$BC$57</f>
        <v/>
      </c>
      <c r="D7" s="27">
        <f>Ansparphase!$BG$57</f>
        <v/>
      </c>
      <c r="E7" s="48" t="inlineStr">
        <is>
          <t>Beim Privatdepot ist die Vorabpauschale bereits jaehrlich abgezogen.</t>
        </is>
      </c>
    </row>
    <row r="8">
      <c r="A8" s="3" t="inlineStr">
        <is>
          <t>Summe Bruttoauszahlungen</t>
        </is>
      </c>
      <c r="B8" s="27">
        <f>SUM(Auszahlung!$M$8:$M$41)</f>
        <v/>
      </c>
      <c r="C8" s="27">
        <f>SUM(Auszahlung!$AI$8:$AI$41)+SUM(Auszahlung!$AK$8:$AK$41)+SUM(Auszahlung!$AM$8:$AM$41)</f>
        <v/>
      </c>
      <c r="D8" s="27">
        <f>SUM(Auszahlung!$AZ$8:$AZ$41)</f>
        <v/>
      </c>
      <c r="E8" s="48" t="inlineStr">
        <is>
          <t>Nominal ueber den gesamten Auszahlungshorizont.</t>
        </is>
      </c>
    </row>
    <row r="9">
      <c r="A9" s="3" t="inlineStr">
        <is>
          <t>davon Einkommensteuer / Abgeltungsteuer</t>
        </is>
      </c>
      <c r="B9" s="27">
        <f>SUM(Auszahlung!$AF$8:$AF$41)</f>
        <v/>
      </c>
      <c r="C9" s="27">
        <f>SUM(Auszahlung!$AV$8:$AV$41)-SUM(Auszahlung!$J$8:$J$41)+SUM(Auszahlung!$AN$8:$AN$41)</f>
        <v/>
      </c>
      <c r="D9" s="27">
        <f>SUM(Auszahlung!$BB$8:$BB$41)</f>
        <v/>
      </c>
      <c r="E9" s="48" t="inlineStr">
        <is>
          <t>bAV und Altersvorsorgedepot: nachgelagerte Besteuerung mit dem persoenlichen Grenzsteuersatz. Privatdepot: 25 % zzgl. Soli/KiSt auf 70 % des Gewinns. In der bAV-Spalte bereits saldiert mit der Steuerersparnis aus der geringeren gesetzlichen Rente.</t>
        </is>
      </c>
    </row>
    <row r="10">
      <c r="A10" s="3" t="inlineStr">
        <is>
          <t>davon Kranken- und Pflegeversicherung</t>
        </is>
      </c>
      <c r="B10" s="27">
        <f>SUM(Auszahlung!$T$8:$T$41)</f>
        <v/>
      </c>
      <c r="C10" s="27">
        <f>0</f>
        <v/>
      </c>
      <c r="D10" s="27">
        <f>0</f>
        <v/>
      </c>
      <c r="E10" s="48" t="inlineStr">
        <is>
          <t>229 SGB V: Betriebsrenten sind Versorgungsbezuege, private Altersvorsorge nicht. In der PKV entfaellt das (Eingabe umstellen).</t>
        </is>
      </c>
    </row>
    <row r="11">
      <c r="A11" s="3" t="inlineStr">
        <is>
          <t>Verlust an gesetzlicher Rente (brutto, kumuliert)</t>
        </is>
      </c>
      <c r="B11" s="27">
        <f>SUM(Auszahlung!$U$8:$U$41)</f>
        <v/>
      </c>
      <c r="C11" s="27">
        <f>0</f>
        <v/>
      </c>
      <c r="D11" s="27">
        <f>0</f>
        <v/>
      </c>
      <c r="E11" s="48" t="inlineStr">
        <is>
          <t>Entgeltumwandlung mindert das rentenversicherungspflichtige Entgelt und damit die Entgeltpunkte.</t>
        </is>
      </c>
    </row>
    <row r="12">
      <c r="A12" s="3" t="inlineStr">
        <is>
          <t>Summe Netto-Auszahlungen (nominal)</t>
        </is>
      </c>
      <c r="B12" s="27">
        <f>SUM(Auszahlung!$AG$8:$AG$41)</f>
        <v/>
      </c>
      <c r="C12" s="27">
        <f>SUM(Auszahlung!$AW$8:$AW$41)</f>
        <v/>
      </c>
      <c r="D12" s="27">
        <f>SUM(Auszahlung!$BC$8:$BC$41)</f>
        <v/>
      </c>
      <c r="E12" s="48" t="inlineStr">
        <is>
          <t>Nach Steuern, nach KV/PV, nach Abzug der gesetzlichen Rentenminderung.</t>
        </is>
      </c>
    </row>
    <row r="13">
      <c r="A13" s="3" t="inlineStr">
        <is>
          <t>Barwert der Netto-Auszahlungen (heutige Kaufkraft)</t>
        </is>
      </c>
      <c r="B13" s="27">
        <f>SUMPRODUCT(Auszahlung!$AG$8:$AG$41,Auszahlung!$BD$8:$BD$41)</f>
        <v/>
      </c>
      <c r="C13" s="27">
        <f>SUMPRODUCT(Auszahlung!$AW$8:$AW$41,Auszahlung!$BD$8:$BD$41)</f>
        <v/>
      </c>
      <c r="D13" s="27">
        <f>SUMPRODUCT(Auszahlung!$BC$8:$BC$41,Auszahlung!$BD$8:$BD$41)</f>
        <v/>
      </c>
      <c r="E13" s="48" t="inlineStr">
        <is>
          <t>Diskontiert mit der Inflationsrate - das ist die Groesse, die man vergleichen sollte.</t>
        </is>
      </c>
    </row>
    <row r="14">
      <c r="A14" s="3" t="inlineStr">
        <is>
          <t>Barwert des Nettoaufwands (heutige Kaufkraft)</t>
        </is>
      </c>
      <c r="B14" s="27">
        <f>SUM(Cashflow!$K$5:$K$69)</f>
        <v/>
      </c>
      <c r="C14" s="27">
        <f>B14</f>
        <v/>
      </c>
      <c r="D14" s="27">
        <f>B14</f>
        <v/>
      </c>
      <c r="E14" s="48" t="inlineStr">
        <is>
          <t>Ebenfalls identisch.</t>
        </is>
      </c>
    </row>
    <row r="15">
      <c r="A15" s="19" t="inlineStr">
        <is>
          <t>BARWERT DES NETTO-ERTRAGS (Ertrag minus Aufwand)</t>
        </is>
      </c>
      <c r="B15" s="49">
        <f>B13-B14</f>
        <v/>
      </c>
      <c r="C15" s="49">
        <f>C13-C14</f>
        <v/>
      </c>
      <c r="D15" s="49">
        <f>D13-D14</f>
        <v/>
      </c>
      <c r="E15" s="48" t="inlineStr">
        <is>
          <t>Das Hauptergebnis: was jede Option in heutiger Kaufkraft ueber den eigenen Einsatz hinaus abwirft.</t>
        </is>
      </c>
    </row>
    <row r="16">
      <c r="A16" s="3" t="inlineStr">
        <is>
          <t>Verhaeltnis Ertrag zu Aufwand</t>
        </is>
      </c>
      <c r="B16" s="50">
        <f>IF(B14=0,0,B13/B14)</f>
        <v/>
      </c>
      <c r="C16" s="50">
        <f>IF(C14=0,0,C13/C14)</f>
        <v/>
      </c>
      <c r="D16" s="50">
        <f>IF(D14=0,0,D13/D14)</f>
        <v/>
      </c>
      <c r="E16" s="48" t="inlineStr">
        <is>
          <t>Vielfaches des eingesetzten Nettokapitals, real.</t>
        </is>
      </c>
    </row>
    <row r="17">
      <c r="A17" s="3" t="inlineStr">
        <is>
          <t>Interner Zinsfuss (nominal, p.a.)</t>
        </is>
      </c>
      <c r="B17" s="51">
        <f>IFERROR(IRR(Cashflow!$D$5:$D$69,0.05),"n/a")</f>
        <v/>
      </c>
      <c r="C17" s="51">
        <f>IFERROR(IRR(Cashflow!$E$5:$E$69,0.05),"n/a")</f>
        <v/>
      </c>
      <c r="D17" s="51">
        <f>IFERROR(IRR(Cashflow!$F$5:$F$69,0.05),"n/a")</f>
        <v/>
      </c>
      <c r="E17" s="48" t="inlineStr">
        <is>
          <t>Rendite auf den tatsaechlichen Nettoeinsatz. Direkt mit der Bruttorendite des ETF vergleichbar.</t>
        </is>
      </c>
    </row>
    <row r="18">
      <c r="A18" s="3" t="inlineStr">
        <is>
          <t>Vorsprung gegenueber dem privaten ETF-Depot</t>
        </is>
      </c>
      <c r="B18" s="27">
        <f>B15-$D$15</f>
        <v/>
      </c>
      <c r="C18" s="27">
        <f>C15-$D$15</f>
        <v/>
      </c>
      <c r="D18" s="27">
        <f>0</f>
        <v/>
      </c>
      <c r="E18" s="48" t="inlineStr">
        <is>
          <t>Positiv heisst: die gefoerderte Variante lohnt sich unter den eingestellten Annahmen.</t>
        </is>
      </c>
    </row>
    <row r="19">
      <c r="A19" s="3" t="inlineStr">
        <is>
          <t>Vorsprung in Prozent</t>
        </is>
      </c>
      <c r="B19" s="51">
        <f>IF($D$15=0,0,B15/$D$15-1)</f>
        <v/>
      </c>
      <c r="C19" s="51">
        <f>IF($D$15=0,0,C15/$D$15-1)</f>
        <v/>
      </c>
      <c r="D19" s="51">
        <f>0</f>
        <v/>
      </c>
      <c r="E19" s="48" t="inlineStr"/>
    </row>
    <row r="21">
      <c r="A21" s="5" t="inlineStr">
        <is>
          <t>DIAGNOSE</t>
        </is>
      </c>
    </row>
    <row r="22">
      <c r="A22" s="3" t="inlineStr">
        <is>
          <t>Grenzsteuersatz in der Ansparphase (erstes Jahr)</t>
        </is>
      </c>
      <c r="B22" s="51">
        <f>IF(Ansparphase!$L$8=0,0,Ansparphase!$AH$8/Ansparphase!$L$8)</f>
        <v/>
      </c>
      <c r="E22" s="48" t="inlineStr">
        <is>
          <t>Ersparnis je umgewandeltem Euro, ohne die Sozialversicherung.</t>
        </is>
      </c>
    </row>
    <row r="23">
      <c r="A23" s="3" t="inlineStr">
        <is>
          <t>Ersparnisquote gesamt (Steuer + SV) im ersten Jahr</t>
        </is>
      </c>
      <c r="B23" s="51">
        <f>IF(Ansparphase!$K$8=0,0,1-Ansparphase!$AI$8/Ansparphase!$K$8)</f>
        <v/>
      </c>
      <c r="E23" s="48" t="inlineStr">
        <is>
          <t>So viel vom Bruttobeitrag zahlt der Staat. Genau dieser Vorteil wird spaeter nachgelagert zurueckgeholt.</t>
        </is>
      </c>
    </row>
    <row r="24">
      <c r="A24" s="3" t="inlineStr">
        <is>
          <t>Abgabenlast der bAV-Auszahlung (Steuer + KV/PV)</t>
        </is>
      </c>
      <c r="B24" s="51">
        <f>IF(B8=0,0,(B9+B10)/B8)</f>
        <v/>
      </c>
      <c r="E24" s="48" t="inlineStr">
        <is>
          <t>Bei Kapitalauszahlung schlaegt die Progression in einem einzigen Jahr voll durch.</t>
        </is>
      </c>
    </row>
    <row r="25">
      <c r="A25" s="3" t="inlineStr">
        <is>
          <t>Abgabenlast der Altersvorsorgedepot-Auszahlung</t>
        </is>
      </c>
      <c r="B25" s="51">
        <f>IF(C8=0,0,(C9+C10)/C8)</f>
        <v/>
      </c>
      <c r="E25" s="48" t="inlineStr"/>
    </row>
    <row r="26">
      <c r="A26" s="3" t="inlineStr">
        <is>
          <t>Abgabenlast der Privatdepot-Auszahlung</t>
        </is>
      </c>
      <c r="B26" s="51">
        <f>IF(D8=0,0,(D9+D10)/D8)</f>
        <v/>
      </c>
      <c r="E26" s="48" t="inlineStr">
        <is>
          <t>25 % zzgl. Soli auf 70 % des Gewinns, also deutlich weniger als der Grenzsteuersatz.</t>
        </is>
      </c>
    </row>
    <row r="27">
      <c r="A27" s="3" t="inlineStr">
        <is>
          <t>Tatsaechliche SV-Ersparnis des ARBEITGEBERS (erstes Jahr)</t>
        </is>
      </c>
      <c r="B27" s="27">
        <f>Ansparphase!$W$8</f>
        <v/>
      </c>
      <c r="E27" s="48" t="inlineStr">
        <is>
          <t>Null, wenn Ihr Entgelt auch nach der Umwandlung noch ueber beiden Beitragsbemessungsgrenzen liegt. Dann schuldet der Arbeitgeber nach 1a Abs. 1a BetrAVG auch keinen Zuschuss - er kann ihn aber freiwillig zusagen (Modus 0 oder 1).</t>
        </is>
      </c>
    </row>
    <row r="28">
      <c r="A28" s="3" t="inlineStr">
        <is>
          <t>Tatsaechliche SV-Ersparnis des ARBEITNEHMERS (erstes Jahr)</t>
        </is>
      </c>
      <c r="B28" s="27">
        <f>Ansparphase!$V$8</f>
        <v/>
      </c>
      <c r="E28" s="48" t="inlineStr">
        <is>
          <t>Ebenfalls null oberhalb der Grenzen - dafuer gehen dann auch keine Entgeltpunkte verloren. Beides haengt an derselben Groesse.</t>
        </is>
      </c>
    </row>
    <row r="29">
      <c r="A29" s="3" t="inlineStr">
        <is>
          <t>Anteil der bAV-Beitraege OHNE Foerderung (erstes Jahr)</t>
        </is>
      </c>
      <c r="B29" s="51">
        <f>IF(Ansparphase!$Q$8=0,0,Ansparphase!$S$8/Ansparphase!$Q$8)</f>
        <v/>
      </c>
      <c r="E29" s="48" t="inlineStr">
        <is>
          <t>Alles oberhalb von 8 % der BBG-RV ist weder steuer- noch sozialabgabenbeguenstigt. Diese Schicht wandert in einen Versicherungsmantel, ohne dafuer etwas zu bekommen - ausser der Beitragspflicht in der KV. Ist dieser Anteil gross, ist die bAV strukturell unterlegen.</t>
        </is>
      </c>
    </row>
    <row r="30">
      <c r="A30" s="3" t="inlineStr">
        <is>
          <t>Arbeitgeberzuschuss prozentual (erstes Jahr)</t>
        </is>
      </c>
      <c r="B30" s="27">
        <f>Ansparphase!$O$8</f>
        <v/>
      </c>
      <c r="E30" s="48" t="inlineStr">
        <is>
          <t>Der Teil nach 1a Abs. 1a BetrAVG bzw. der vertraglich zugesagte Prozentsatz, gerechnet nach dem eingestellten Zuschussmodus.</t>
        </is>
      </c>
    </row>
    <row r="31">
      <c r="A31" s="3" t="inlineStr">
        <is>
          <t>Fester Arbeitgeberzuschuss (erstes Jahr)</t>
        </is>
      </c>
      <c r="B31" s="27">
        <f>Ansparphase!$N$8</f>
        <v/>
      </c>
      <c r="E31" s="48" t="inlineStr">
        <is>
          <t>Betragsunabhaengiger Festzuschuss aus Tarifvertrag oder Betriebsvereinbarung. Null, wenn der eigene Monatsbeitrag die eingestellte Mindestschwelle nicht erreicht.</t>
        </is>
      </c>
    </row>
    <row r="32">
      <c r="A32" s="3" t="inlineStr">
        <is>
          <t>Fester Zuschuss oberhalb des 4-%-Topfes (erstes Jahr)</t>
        </is>
      </c>
      <c r="B32" s="27">
        <f>MAX(0,Ansparphase!$N$8-Parameter!$C$43*Ansparphase!$I$8)</f>
        <v/>
      </c>
      <c r="E32" s="48" t="inlineStr">
        <is>
          <t>Dieser Teil waere beim Arbeitnehmer beitragspflichtiges Arbeitsentgelt. Das Modell rechnet die zusaetzliche Beitragslast NICHT gegen und ueberschaetzt die bAV insoweit. Sollte null sein.</t>
        </is>
      </c>
    </row>
    <row r="33">
      <c r="A33" s="3" t="inlineStr">
        <is>
          <t>Ausschoepfung des Rechtsanspruchs nach 1a BetrAVG (4 % BBG)</t>
        </is>
      </c>
      <c r="B33" s="51">
        <f>IF(Ansparphase!$I$8=0,0,Ansparphase!$K$8/(Parameter!$C$43*Ansparphase!$I$8))</f>
        <v/>
      </c>
      <c r="E33" s="48" t="inlineStr">
        <is>
          <t>Ueber 100 % besteht kein Rechtsanspruch mehr auf Entgeltumwandlung; darueber hinaus ist die Zustimmung des Arbeitgebers noetig.</t>
        </is>
      </c>
    </row>
    <row r="34">
      <c r="A34" s="3" t="inlineStr">
        <is>
          <t>Versorgungsbezug pro Monat zu Beginn der Auszahlung</t>
        </is>
      </c>
      <c r="B34" s="52">
        <f>Auszahlung!$O$8</f>
        <v/>
      </c>
      <c r="E34" s="48" t="inlineStr">
        <is>
          <t>Bei Kapitalauszahlung ein Hundertzwanzigstel der Leistung fuer 120 Monate ( 229 Abs. 1 S. 3 SGB V), bei Rente die laufende Monatsrente.</t>
        </is>
      </c>
    </row>
    <row r="35">
      <c r="A35" s="3" t="inlineStr">
        <is>
          <t>Freibetrag Versorgungsbezuege im Auszahlungsjahr</t>
        </is>
      </c>
      <c r="B35" s="52">
        <f>Parameter!$C$7*Auszahlung!$E$8</f>
        <v/>
      </c>
      <c r="E35" s="48" t="inlineStr">
        <is>
          <t>Ein Zwanzigstel der Bezugsgroesse, 226 Abs. 2 S. 2 SGB V. 2026: 197,75 EUR; waechst mit der Lohnentwicklung.</t>
        </is>
      </c>
    </row>
    <row r="36">
      <c r="A36" s="3" t="inlineStr">
        <is>
          <t>Verhaeltnis Versorgungsbezug zu Freibetrag</t>
        </is>
      </c>
      <c r="B36" s="50">
        <f>IF(B32=0,0,B31/B32)</f>
        <v/>
      </c>
      <c r="E36" s="48" t="inlineStr">
        <is>
          <t>Bei einem Wert bis 1,00 faellt WEDER Kranken- NOCH Pflegeversicherung an. Darueber greift die KV nur auf den uebersteigenden Teil zu, die PV wegen ihrer Freigrenze dagegen auf den GESAMTEN Betrag. Weil der Freibetrag absolut ist, faellt seine Schutzwirkung wie 1/Kapital - deshalb sinkt die Rendite der bAV streng monoton in der Beitragshoehe.</t>
        </is>
      </c>
    </row>
    <row r="37">
      <c r="A37" s="3" t="inlineStr">
        <is>
          <t>Beitragsfrei moegliches Kapital bei Kapitalauszahlung</t>
        </is>
      </c>
      <c r="B37" s="27">
        <f>120*B32</f>
        <v/>
      </c>
      <c r="E37" s="48" t="inlineStr">
        <is>
          <t>120 x Freibetrag. Vergleichen Sie mit Zeile 7. Liegt Ihr Kapital darueber, zahlen Sie auf den Ueberschuss den vollen Beitragssatz allein.</t>
        </is>
      </c>
    </row>
    <row r="38">
      <c r="A38" s="53" t="inlineStr">
        <is>
          <t>Hinweis: Ein Foerderungsanteil deutlich ueber 0 %, eine Ausschoepfung ueber 100 % oder ein Verhaeltnis Versorgungsbezug zu Freibetrag deutlich ueber 1,00 zeigen an, dass Sie ausserhalb des beguenstigten Korridors liegen.</t>
        </is>
      </c>
      <c r="B38" s="27">
        <f>IF(Eingaben!$C$32=0,0,B32/Eingaben!$C$32*10000)</f>
        <v/>
      </c>
      <c r="E38" s="48" t="inlineStr">
        <is>
          <t>Die Verrentung streckt den Bezug auf die Restlebenszeit statt auf 120 Monate und schirmt deshalb ein Vielfaches an Kapital unter demselben Freibetrag ab. Ein Vorteil, den der Barwertvergleich ueber einen festen Horizont nicht abbildet.</t>
        </is>
      </c>
    </row>
    <row r="39">
      <c r="A39" s="3" t="inlineStr">
        <is>
          <t>MEMO: bAV-Rentenzahlungen nach dem Vergleichshorizont</t>
        </is>
      </c>
      <c r="B39" s="27">
        <f>SUM(Auszahlung!$BE$8:$BE$41)</f>
        <v/>
      </c>
      <c r="E39" s="48" t="inlineStr">
        <is>
          <t>Nur bei Auszahlungsform 2. Eine lebenslange Rente zahlt ueber den Horizont hinaus - diesen Betrag beruecksichtigt der Vergleich NICHT. Wer alt wird, gewinnt hier.</t>
        </is>
      </c>
    </row>
    <row r="40">
      <c r="A40" s="5" t="inlineStr">
        <is>
          <t>MONATLICHE LEISTUNG - alle Optionen auf denselben Zeitraum verrentet</t>
        </is>
      </c>
      <c r="B40" s="54" t="inlineStr">
        <is>
          <t>bAV mit DYNO</t>
        </is>
      </c>
      <c r="C40" s="55" t="inlineStr">
        <is>
          <t>Altersvorsorgedepot</t>
        </is>
      </c>
      <c r="D40" s="55" t="inlineStr">
        <is>
          <t>privates ETF-Depot</t>
        </is>
      </c>
      <c r="E40" s="48" t="inlineStr">
        <is>
          <t>Dasselbe fuer das Altersvorsorgedepot, wenn es verrentet wird. Beide Memo-Zeilen sind der Preis eines festen Vergleichshorizonts: eine lebenslange Rente wird darin systematisch unterschaetzt.</t>
        </is>
      </c>
    </row>
    <row r="41">
      <c r="A41" s="3" t="inlineStr">
        <is>
          <t>Wert aller Netto-Leistungen bei Rentenbeginn</t>
        </is>
      </c>
      <c r="B41" s="27">
        <f>SUMPRODUCT(Auszahlung!$AG$8:$AG$41,Auszahlung!$BF$8:$BF$41)</f>
        <v/>
      </c>
      <c r="C41" s="27">
        <f>SUMPRODUCT(Auszahlung!$AW$8:$AW$41,Auszahlung!$BF$8:$BF$41)</f>
        <v/>
      </c>
      <c r="D41" s="27">
        <f>SUMPRODUCT(Auszahlung!$BC$8:$BC$41,Auszahlung!$BF$8:$BF$41)</f>
        <v/>
      </c>
      <c r="E41" s="48" t="inlineStr">
        <is>
          <t>Alle Netto-Zahlungen mit dem Wiederanlagezins nach Steuern auf den Rentenbeginn bezogen. Ein Einmalbetrag und ein Zahlungsstrom werden damit vergleichbar - der Zeitpunkt wird bewertet statt ignoriert.</t>
        </is>
      </c>
    </row>
    <row r="42">
      <c r="A42" s="3" t="inlineStr">
        <is>
          <t>Bruttoleistung pro Monat</t>
        </is>
      </c>
      <c r="B42" s="52">
        <f>(SUMPRODUCT(Auszahlung!$M$8:$M$41,Auszahlung!$BF$8:$BF$41))*(Parameter!$C$68/(1-(1+Parameter!$C$68)^(-Parameter!$C$64)))/12</f>
        <v/>
      </c>
      <c r="C42" s="52">
        <f>(SUMPRODUCT(Auszahlung!$AI$8:$AI$41,Auszahlung!$BF$8:$BF$41)+SUMPRODUCT(Auszahlung!$AK$8:$AK$41,Auszahlung!$BF$8:$BF$41)+SUMPRODUCT(Auszahlung!$AM$8:$AM$41,Auszahlung!$BF$8:$BF$41))*(Parameter!$C$68/(1-(1+Parameter!$C$68)^(-Parameter!$C$64)))/12</f>
        <v/>
      </c>
      <c r="D42" s="52">
        <f>(SUMPRODUCT(Auszahlung!$AZ$8:$AZ$41,Auszahlung!$BF$8:$BF$41))*(Parameter!$C$68/(1-(1+Parameter!$C$68)^(-Parameter!$C$64)))/12</f>
        <v/>
      </c>
      <c r="E42" s="48" t="inlineStr">
        <is>
          <t>Konstante nominale Monatszahlung ueber die Auszahlungsphase mit demselben Wert. Weil die Verrentung linear ist, addieren sich die folgenden Zeilen exakt.</t>
        </is>
      </c>
    </row>
    <row r="43">
      <c r="A43" s="3" t="inlineStr">
        <is>
          <t>abzueglich Einkommen-/Abgeltungsteuer</t>
        </is>
      </c>
      <c r="B43" s="52">
        <f>(-SUMPRODUCT(Auszahlung!$AF$8:$AF$41,Auszahlung!$BF$8:$BF$41))*(Parameter!$C$68/(1-(1+Parameter!$C$68)^(-Parameter!$C$64)))/12</f>
        <v/>
      </c>
      <c r="C43" s="52">
        <f>(-(SUMPRODUCT(Auszahlung!$AV$8:$AV$41,Auszahlung!$BF$8:$BF$41)-SUMPRODUCT(Auszahlung!$J$8:$J$41,Auszahlung!$BF$8:$BF$41)+SUMPRODUCT(Auszahlung!$AN$8:$AN$41,Auszahlung!$BF$8:$BF$41)))*(Parameter!$C$68/(1-(1+Parameter!$C$68)^(-Parameter!$C$64)))/12</f>
        <v/>
      </c>
      <c r="D43" s="52">
        <f>(-SUMPRODUCT(Auszahlung!$BB$8:$BB$41,Auszahlung!$BF$8:$BF$41))*(Parameter!$C$68/(1-(1+Parameter!$C$68)^(-Parameter!$C$64)))/12</f>
        <v/>
      </c>
      <c r="E43" s="48" t="inlineStr">
        <is>
          <t>bAV und Altersvorsorgedepot: persoenlicher Grenzsteuersatz. Privatdepot: nur der Gewinnanteil der Entnahme, mit 30 % Teilfreistellung.</t>
        </is>
      </c>
    </row>
    <row r="44">
      <c r="A44" s="3" t="inlineStr">
        <is>
          <t>abzueglich Kranken- und Pflegeversicherung</t>
        </is>
      </c>
      <c r="B44" s="52">
        <f>(-SUMPRODUCT(Auszahlung!$T$8:$T$41,Auszahlung!$BF$8:$BF$41))*(Parameter!$C$68/(1-(1+Parameter!$C$68)^(-Parameter!$C$64)))/12</f>
        <v/>
      </c>
      <c r="C44" s="52">
        <f>0</f>
        <v/>
      </c>
      <c r="D44" s="52">
        <f>0</f>
        <v/>
      </c>
      <c r="E44" s="48" t="inlineStr">
        <is>
          <t>229, 250 SGB V. Nur die bAV ist betroffen.</t>
        </is>
      </c>
    </row>
    <row r="45">
      <c r="A45" s="3" t="inlineStr">
        <is>
          <t>abzueglich Verlust an gesetzlicher Rente</t>
        </is>
      </c>
      <c r="B45" s="52">
        <f>(-(SUMPRODUCT(Auszahlung!$U$8:$U$41,Auszahlung!$BF$8:$BF$41)-SUMPRODUCT(Auszahlung!$W$8:$W$41,Auszahlung!$BF$8:$BF$41)))*(Parameter!$C$68/(1-(1+Parameter!$C$68)^(-Parameter!$C$64)))/12</f>
        <v/>
      </c>
      <c r="C45" s="52">
        <f>0</f>
        <v/>
      </c>
      <c r="D45" s="52">
        <f>0</f>
        <v/>
      </c>
      <c r="E45" s="48" t="inlineStr">
        <is>
          <t>Netto entgangene gesetzliche Rente aus der Entgeltumwandlung.</t>
        </is>
      </c>
    </row>
    <row r="46">
      <c r="A46" s="19" t="inlineStr">
        <is>
          <t>NETTO PRO MONAT (nominal)</t>
        </is>
      </c>
      <c r="B46" s="56">
        <f>(SUMPRODUCT(Auszahlung!$AG$8:$AG$41,Auszahlung!$BF$8:$BF$41))*(Parameter!$C$68/(1-(1+Parameter!$C$68)^(-Parameter!$C$64)))/12</f>
        <v/>
      </c>
      <c r="C46" s="56">
        <f>(SUMPRODUCT(Auszahlung!$AW$8:$AW$41,Auszahlung!$BF$8:$BF$41))*(Parameter!$C$68/(1-(1+Parameter!$C$68)^(-Parameter!$C$64)))/12</f>
        <v/>
      </c>
      <c r="D46" s="56">
        <f>(SUMPRODUCT(Auszahlung!$BC$8:$BC$41,Auszahlung!$BF$8:$BF$41))*(Parameter!$C$68/(1-(1+Parameter!$C$68)^(-Parameter!$C$64)))/12</f>
        <v/>
      </c>
      <c r="E46" s="48" t="inlineStr">
        <is>
          <t>Summe der vier Zeilen darueber. Gegenprobe fuer die Additivitaet.</t>
        </is>
      </c>
    </row>
    <row r="47">
      <c r="A47" s="19" t="inlineStr">
        <is>
          <t>NETTO PRO MONAT in heutiger Kaufkraft</t>
        </is>
      </c>
      <c r="B47" s="56">
        <f>B46*Auszahlung!$BD$8</f>
        <v/>
      </c>
      <c r="C47" s="56">
        <f>C46*Auszahlung!$BD$8</f>
        <v/>
      </c>
      <c r="D47" s="56">
        <f>D46*Auszahlung!$BD$8</f>
        <v/>
      </c>
      <c r="E47" s="48" t="inlineStr">
        <is>
          <t>Die einzige Zahl, die man unmittelbar mit dem heutigen Nettoeinkommen vergleichen kann.</t>
        </is>
      </c>
    </row>
    <row r="48" ht="26" customHeight="1">
      <c r="A48" s="57" t="inlineStr">
        <is>
          <t>Der Bezugszeitraum ist fuer alle drei Optionen identisch (Rentenbeginn bis Vergleichshorizont). Bei Kapitalauszahlung wird der Einmalbetrag also nicht durch zwoelf geteilt, sondern mit dem Wiederanlagezins aus dem Blatt 'Parameter' auf denselben Zeitraum verrentet. Wer ihn verkonsumiert statt anzulegen, steht schlechter - dann den Wiederanlagezins auf 0 setzen.</t>
        </is>
      </c>
    </row>
    <row r="50">
      <c r="A50" s="12" t="inlineStr">
        <is>
          <t>Barwert Netto-Ertrag bAV</t>
        </is>
      </c>
      <c r="B50" s="58">
        <f>B15</f>
        <v/>
      </c>
    </row>
    <row r="51">
      <c r="A51" s="12" t="inlineStr">
        <is>
          <t>Barwert Netto-Ertrag Altersvorsorgedepot</t>
        </is>
      </c>
      <c r="B51" s="58">
        <f>C15</f>
        <v/>
      </c>
    </row>
    <row r="52">
      <c r="A52" s="12" t="inlineStr">
        <is>
          <t>Barwert Netto-Ertrag privates Depot</t>
        </is>
      </c>
      <c r="B52" s="58">
        <f>D15</f>
        <v/>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2026-08-07T17:52:47Z</dcterms:created>
  <dcterms:modified xmlns:dcterms="http://purl.org/dc/terms/" xmlns:xsi="http://www.w3.org/2001/XMLSchema-instance" xsi:type="dcterms:W3CDTF">2026-08-07T17:52:47Z</dcterms:modified>
</cp:coreProperties>
</file>